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vigjen\Documents\Jason Neiman\New SHA-UL50 and UL35\"/>
    </mc:Choice>
  </mc:AlternateContent>
  <xr:revisionPtr revIDLastSave="0" documentId="13_ncr:1_{9F27B9CD-B5E9-4FFC-B999-35D005AD4A67}" xr6:coauthVersionLast="44" xr6:coauthVersionMax="44" xr10:uidLastSave="{00000000-0000-0000-0000-000000000000}"/>
  <bookViews>
    <workbookView xWindow="26560" yWindow="-8260" windowWidth="2930" windowHeight="12360" tabRatio="804" xr2:uid="{00000000-000D-0000-FFFF-FFFF00000000}"/>
  </bookViews>
  <sheets>
    <sheet name="INDEX" sheetId="17" r:id="rId1"/>
    <sheet name="CU3" sheetId="19" r:id="rId2"/>
    <sheet name="GC3" sheetId="30" r:id="rId3"/>
    <sheet name="GC4" sheetId="13" r:id="rId4"/>
    <sheet name="MH2" sheetId="36" r:id="rId5"/>
    <sheet name="OC3" sheetId="21" r:id="rId6"/>
    <sheet name="AS3" sheetId="40" r:id="rId7"/>
    <sheet name="COA3" sheetId="41" r:id="rId8"/>
    <sheet name="MID218" sheetId="42" r:id="rId9"/>
    <sheet name="MID218j" sheetId="43" r:id="rId10"/>
    <sheet name="MID358" sheetId="44" r:id="rId11"/>
    <sheet name="MID358j" sheetId="45" r:id="rId12"/>
    <sheet name="CD3" sheetId="6" r:id="rId13"/>
    <sheet name="CD3b" sheetId="20" r:id="rId14"/>
    <sheet name="CD4" sheetId="7" r:id="rId15"/>
    <sheet name="ER2" sheetId="22" r:id="rId16"/>
    <sheet name="ER2_ALT" sheetId="64" state="hidden" r:id="rId17"/>
    <sheet name="FR3" sheetId="26" r:id="rId18"/>
    <sheet name="LR3" sheetId="2" r:id="rId19"/>
    <sheet name="LR4" sheetId="5" r:id="rId20"/>
    <sheet name="MET3a" sheetId="61" r:id="rId21"/>
    <sheet name="MET3c" sheetId="62" r:id="rId22"/>
    <sheet name="SH2" sheetId="16" r:id="rId23"/>
    <sheet name="SH3" sheetId="10" r:id="rId24"/>
    <sheet name="SH4" sheetId="27" r:id="rId25"/>
    <sheet name="SH4b" sheetId="69" r:id="rId26"/>
    <sheet name="SH5" sheetId="18" r:id="rId27"/>
    <sheet name="UL3a" sheetId="34" r:id="rId28"/>
    <sheet name="UL3c" sheetId="33" r:id="rId29"/>
    <sheet name="THIN_LR" sheetId="46" state="hidden" r:id="rId30"/>
    <sheet name="THIN_LR4" sheetId="47" state="hidden" r:id="rId31"/>
    <sheet name="THIN_SH3" sheetId="51" state="hidden" r:id="rId32"/>
    <sheet name="THIN_CD4" sheetId="52" state="hidden" r:id="rId33"/>
    <sheet name="THIN_UL3c" sheetId="53" state="hidden" r:id="rId34"/>
    <sheet name="THIN_FR3 " sheetId="54" state="hidden" r:id="rId35"/>
    <sheet name="THIN_ER2 " sheetId="55" state="hidden" r:id="rId36"/>
    <sheet name="GB2" sheetId="65" r:id="rId37"/>
    <sheet name="GB3" sheetId="56" r:id="rId38"/>
    <sheet name="GB4" sheetId="66" r:id="rId39"/>
    <sheet name="GB4_start" sheetId="67" r:id="rId40"/>
    <sheet name="GB5" sheetId="68" r:id="rId41"/>
    <sheet name="AP3a" sheetId="57" r:id="rId42"/>
    <sheet name="AP3c" sheetId="58" r:id="rId43"/>
    <sheet name="AST3a " sheetId="59" r:id="rId44"/>
    <sheet name="AST3c" sheetId="60" r:id="rId45"/>
    <sheet name="ALSB23" sheetId="63" r:id="rId46"/>
    <sheet name="CON31" sheetId="37" r:id="rId47"/>
    <sheet name="TVB31" sheetId="38" r:id="rId48"/>
    <sheet name="MID358j (2)" sheetId="49" r:id="rId49"/>
    <sheet name="AS3 (2)" sheetId="50" r:id="rId50"/>
  </sheets>
  <definedNames>
    <definedName name="_xlnm.Print_Area" localSheetId="45">ALSB23!$A$1:$H$48</definedName>
    <definedName name="_xlnm.Print_Area" localSheetId="41">AP3a!$A$1:$H$48</definedName>
    <definedName name="_xlnm.Print_Area" localSheetId="42">AP3c!$A$1:$H$48</definedName>
    <definedName name="_xlnm.Print_Area" localSheetId="6">'AS3'!$A$1:$H$43</definedName>
    <definedName name="_xlnm.Print_Area" localSheetId="49">'AS3 (2)'!$A$1:$H$43</definedName>
    <definedName name="_xlnm.Print_Area" localSheetId="43">'AST3a '!$A$1:$H$48</definedName>
    <definedName name="_xlnm.Print_Area" localSheetId="44">AST3c!$A$1:$H$48</definedName>
    <definedName name="_xlnm.Print_Area" localSheetId="12">'CD3'!$A$1:$H$48</definedName>
    <definedName name="_xlnm.Print_Area" localSheetId="13">CD3b!$A$1:$H$48</definedName>
    <definedName name="_xlnm.Print_Area" localSheetId="14">'CD4'!$A$1:$H$48</definedName>
    <definedName name="_xlnm.Print_Area" localSheetId="46">'CON31'!$A$1:$H$48</definedName>
    <definedName name="_xlnm.Print_Area" localSheetId="1">'CU3'!$A$1:$H$48</definedName>
    <definedName name="_xlnm.Print_Area" localSheetId="15">'ER2'!$A$1:$H$48</definedName>
    <definedName name="_xlnm.Print_Area" localSheetId="16">ER2_ALT!$A$1:$H$48</definedName>
    <definedName name="_xlnm.Print_Area" localSheetId="17">'FR3'!$A$1:$H$48</definedName>
    <definedName name="_xlnm.Print_Area" localSheetId="36">'GB2'!$A$1:$H$48</definedName>
    <definedName name="_xlnm.Print_Area" localSheetId="37">'GB3'!$A$1:$H$48</definedName>
    <definedName name="_xlnm.Print_Area" localSheetId="38">'GB4'!$A$1:$I$48</definedName>
    <definedName name="_xlnm.Print_Area" localSheetId="39">GB4_start!$A$1:$I$48</definedName>
    <definedName name="_xlnm.Print_Area" localSheetId="40">'GB5'!$A$1:$J$48</definedName>
    <definedName name="_xlnm.Print_Area" localSheetId="2">'GC3'!$A$1:$H$48</definedName>
    <definedName name="_xlnm.Print_Area" localSheetId="3">'GC4'!$A$1:$H$48</definedName>
    <definedName name="_xlnm.Print_Area" localSheetId="0">INDEX!$A$2:$D$52</definedName>
    <definedName name="_xlnm.Print_Area" localSheetId="18">'LR3'!$A$1:$H$48</definedName>
    <definedName name="_xlnm.Print_Area" localSheetId="19">'LR4'!$A$1:$H$48</definedName>
    <definedName name="_xlnm.Print_Area" localSheetId="20">MET3a!$A$1:$H$48</definedName>
    <definedName name="_xlnm.Print_Area" localSheetId="21">MET3c!$A$1:$H$48</definedName>
    <definedName name="_xlnm.Print_Area" localSheetId="4">'MH2'!$A$1:$H$48</definedName>
    <definedName name="_xlnm.Print_Area" localSheetId="5">'OC3'!$A$1:$H$48</definedName>
    <definedName name="_xlnm.Print_Area" localSheetId="22">'SH2'!$A$1:$H$48</definedName>
    <definedName name="_xlnm.Print_Area" localSheetId="23">'SH3'!$A$1:$H$48</definedName>
    <definedName name="_xlnm.Print_Area" localSheetId="24">'SH4'!$A$1:$H$48</definedName>
    <definedName name="_xlnm.Print_Area" localSheetId="25">SH4b!$A$1:$H$48</definedName>
    <definedName name="_xlnm.Print_Area" localSheetId="26">'SH5'!$A$1:$I$48</definedName>
    <definedName name="_xlnm.Print_Area" localSheetId="32">THIN_CD4!$A$1:$H$54</definedName>
    <definedName name="_xlnm.Print_Area" localSheetId="35">'THIN_ER2 '!$A$1:$H$54</definedName>
    <definedName name="_xlnm.Print_Area" localSheetId="34">'THIN_FR3 '!$A$1:$H$54</definedName>
    <definedName name="_xlnm.Print_Area" localSheetId="29">THIN_LR!$A$1:$H$48</definedName>
    <definedName name="_xlnm.Print_Area" localSheetId="30">THIN_LR4!$A$1:$H$54</definedName>
    <definedName name="_xlnm.Print_Area" localSheetId="31">THIN_SH3!$A$1:$H$54</definedName>
    <definedName name="_xlnm.Print_Area" localSheetId="33">THIN_UL3c!$A$1:$H$54</definedName>
    <definedName name="_xlnm.Print_Area" localSheetId="47">'TVB31'!$A$1:$H$48</definedName>
    <definedName name="_xlnm.Print_Area" localSheetId="27">UL3a!$A$1:$H$48</definedName>
    <definedName name="_xlnm.Print_Area" localSheetId="28">UL3c!$A$1:$H$48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69" l="1"/>
  <c r="F18" i="69"/>
  <c r="F10" i="69"/>
  <c r="F15" i="69" s="1"/>
  <c r="F16" i="69" s="1"/>
  <c r="F17" i="69" s="1"/>
  <c r="D18" i="69"/>
  <c r="C18" i="69"/>
  <c r="G8" i="69"/>
  <c r="E5" i="69"/>
  <c r="E10" i="69" s="1"/>
  <c r="E15" i="69" l="1"/>
  <c r="C10" i="69"/>
  <c r="D10" i="69"/>
  <c r="D24" i="65"/>
  <c r="E8" i="65"/>
  <c r="F10" i="66"/>
  <c r="F15" i="66" s="1"/>
  <c r="F10" i="67"/>
  <c r="D27" i="68"/>
  <c r="D24" i="68"/>
  <c r="G10" i="68"/>
  <c r="F10" i="68"/>
  <c r="H8" i="68"/>
  <c r="G15" i="68"/>
  <c r="D19" i="68"/>
  <c r="C10" i="68"/>
  <c r="E5" i="68"/>
  <c r="E10" i="68" s="1"/>
  <c r="D19" i="67"/>
  <c r="G8" i="67"/>
  <c r="E5" i="67"/>
  <c r="D10" i="67" s="1"/>
  <c r="G8" i="66"/>
  <c r="E5" i="66"/>
  <c r="D10" i="66" s="1"/>
  <c r="F20" i="69" l="1"/>
  <c r="D15" i="69"/>
  <c r="D16" i="69" s="1"/>
  <c r="C15" i="69"/>
  <c r="E16" i="69"/>
  <c r="E17" i="69" s="1"/>
  <c r="E20" i="69" s="1"/>
  <c r="G16" i="68"/>
  <c r="G17" i="68" s="1"/>
  <c r="G20" i="68" s="1"/>
  <c r="E15" i="68"/>
  <c r="C15" i="68"/>
  <c r="D10" i="68"/>
  <c r="F15" i="68"/>
  <c r="D15" i="67"/>
  <c r="E10" i="67"/>
  <c r="F15" i="67"/>
  <c r="F16" i="67" s="1"/>
  <c r="C10" i="67"/>
  <c r="F16" i="66"/>
  <c r="F17" i="66" s="1"/>
  <c r="F20" i="66" s="1"/>
  <c r="D15" i="66"/>
  <c r="E10" i="66"/>
  <c r="C10" i="66"/>
  <c r="C16" i="69" l="1"/>
  <c r="C17" i="69" s="1"/>
  <c r="D17" i="69"/>
  <c r="D20" i="69" s="1"/>
  <c r="E16" i="68"/>
  <c r="E17" i="68" s="1"/>
  <c r="E20" i="68" s="1"/>
  <c r="D15" i="68"/>
  <c r="D16" i="68" s="1"/>
  <c r="F16" i="68"/>
  <c r="F17" i="68" s="1"/>
  <c r="F20" i="68" s="1"/>
  <c r="C16" i="68"/>
  <c r="C17" i="68" s="1"/>
  <c r="E15" i="67"/>
  <c r="C15" i="67"/>
  <c r="F17" i="67"/>
  <c r="F20" i="67" s="1"/>
  <c r="D16" i="67"/>
  <c r="D17" i="67" s="1"/>
  <c r="D20" i="67" s="1"/>
  <c r="C15" i="66"/>
  <c r="C16" i="66" s="1"/>
  <c r="E15" i="66"/>
  <c r="D16" i="66"/>
  <c r="D17" i="66" s="1"/>
  <c r="D20" i="66" s="1"/>
  <c r="D27" i="69" l="1"/>
  <c r="C20" i="69"/>
  <c r="D24" i="69" s="1"/>
  <c r="D25" i="69" s="1"/>
  <c r="C20" i="68"/>
  <c r="D17" i="68"/>
  <c r="D20" i="68" s="1"/>
  <c r="C16" i="67"/>
  <c r="C17" i="67" s="1"/>
  <c r="E16" i="67"/>
  <c r="E17" i="67" s="1"/>
  <c r="E20" i="67" s="1"/>
  <c r="C17" i="66"/>
  <c r="E16" i="66"/>
  <c r="E17" i="66" s="1"/>
  <c r="E20" i="66" s="1"/>
  <c r="D25" i="68" l="1"/>
  <c r="C20" i="67"/>
  <c r="D27" i="67"/>
  <c r="D27" i="66"/>
  <c r="C20" i="66"/>
  <c r="D24" i="67" l="1"/>
  <c r="D25" i="67" s="1"/>
  <c r="D24" i="66"/>
  <c r="D25" i="66" s="1"/>
  <c r="E5" i="65" l="1"/>
  <c r="D10" i="65" s="1"/>
  <c r="C10" i="65" l="1"/>
  <c r="C15" i="65" s="1"/>
  <c r="C16" i="65" s="1"/>
  <c r="C17" i="65" s="1"/>
  <c r="D27" i="65" s="1"/>
  <c r="D15" i="65"/>
  <c r="D16" i="65" s="1"/>
  <c r="D17" i="65" s="1"/>
  <c r="D20" i="65" s="1"/>
  <c r="D18" i="64"/>
  <c r="C18" i="64"/>
  <c r="E8" i="64"/>
  <c r="E5" i="64"/>
  <c r="C10" i="64" s="1"/>
  <c r="C20" i="65" l="1"/>
  <c r="E20" i="65"/>
  <c r="C15" i="64"/>
  <c r="C16" i="64" s="1"/>
  <c r="D10" i="64"/>
  <c r="D25" i="65" l="1"/>
  <c r="D15" i="64"/>
  <c r="C17" i="64"/>
  <c r="C20" i="64" l="1"/>
  <c r="D16" i="64"/>
  <c r="D17" i="64" s="1"/>
  <c r="D20" i="64" l="1"/>
  <c r="D24" i="64" s="1"/>
  <c r="D25" i="64" s="1"/>
  <c r="D27" i="64"/>
  <c r="C16" i="63" l="1"/>
  <c r="D8" i="63" l="1"/>
  <c r="E5" i="63"/>
  <c r="C10" i="63" s="1"/>
  <c r="C15" i="63" l="1"/>
  <c r="C17" i="63" l="1"/>
  <c r="C20" i="63" l="1"/>
  <c r="D22" i="63" s="1"/>
  <c r="D23" i="63" s="1"/>
  <c r="D25" i="63"/>
  <c r="C15" i="58" l="1"/>
  <c r="E15" i="58"/>
  <c r="D15" i="58"/>
  <c r="C14" i="55" l="1"/>
  <c r="C14" i="54"/>
  <c r="C14" i="53"/>
  <c r="C25" i="52"/>
  <c r="C25" i="51"/>
  <c r="C14" i="51"/>
  <c r="C11" i="52" l="1"/>
  <c r="C11" i="53"/>
  <c r="C22" i="54"/>
  <c r="D22" i="55"/>
  <c r="D24" i="47" l="1"/>
  <c r="E24" i="47"/>
  <c r="F24" i="47"/>
  <c r="C24" i="47"/>
  <c r="D24" i="51"/>
  <c r="E24" i="51"/>
  <c r="C24" i="51"/>
  <c r="D13" i="51"/>
  <c r="E13" i="51"/>
  <c r="C13" i="51"/>
  <c r="D24" i="52"/>
  <c r="E24" i="52"/>
  <c r="F24" i="52"/>
  <c r="C24" i="52"/>
  <c r="D13" i="52"/>
  <c r="E13" i="52"/>
  <c r="F13" i="52"/>
  <c r="C13" i="52"/>
  <c r="D24" i="53"/>
  <c r="E24" i="53"/>
  <c r="C24" i="53"/>
  <c r="D13" i="53"/>
  <c r="E13" i="53"/>
  <c r="C13" i="53"/>
  <c r="C13" i="54"/>
  <c r="E24" i="54"/>
  <c r="D24" i="54"/>
  <c r="C24" i="54"/>
  <c r="D13" i="54"/>
  <c r="E13" i="54"/>
  <c r="D24" i="55"/>
  <c r="C25" i="55" s="1"/>
  <c r="C24" i="55"/>
  <c r="C11" i="55"/>
  <c r="C13" i="55"/>
  <c r="D13" i="55"/>
  <c r="E6" i="55"/>
  <c r="C15" i="61" l="1"/>
  <c r="F8" i="62" l="1"/>
  <c r="E5" i="62"/>
  <c r="D10" i="62" s="1"/>
  <c r="F8" i="61"/>
  <c r="E5" i="61"/>
  <c r="E10" i="61" s="1"/>
  <c r="D10" i="61" l="1"/>
  <c r="C10" i="61"/>
  <c r="E10" i="62"/>
  <c r="C10" i="62"/>
  <c r="C15" i="62" s="1"/>
  <c r="D16" i="62" s="1"/>
  <c r="E15" i="61"/>
  <c r="E16" i="61" s="1"/>
  <c r="F8" i="60"/>
  <c r="E5" i="60"/>
  <c r="C10" i="60" s="1"/>
  <c r="F8" i="59"/>
  <c r="E5" i="59"/>
  <c r="E10" i="59" s="1"/>
  <c r="F8" i="58"/>
  <c r="E5" i="58"/>
  <c r="F8" i="57"/>
  <c r="E5" i="57"/>
  <c r="C10" i="58" l="1"/>
  <c r="E10" i="58"/>
  <c r="D10" i="58"/>
  <c r="C10" i="57"/>
  <c r="C15" i="57" s="1"/>
  <c r="D10" i="57"/>
  <c r="D15" i="57" s="1"/>
  <c r="E10" i="57"/>
  <c r="E15" i="57" s="1"/>
  <c r="C16" i="62"/>
  <c r="D17" i="62" s="1"/>
  <c r="D20" i="62" s="1"/>
  <c r="E15" i="62"/>
  <c r="E16" i="62" s="1"/>
  <c r="E17" i="61"/>
  <c r="E20" i="61" s="1"/>
  <c r="D10" i="60"/>
  <c r="E10" i="60"/>
  <c r="C15" i="60"/>
  <c r="D15" i="60"/>
  <c r="D16" i="60" s="1"/>
  <c r="E15" i="59"/>
  <c r="E16" i="59" s="1"/>
  <c r="C10" i="59"/>
  <c r="D10" i="59"/>
  <c r="C17" i="57" l="1"/>
  <c r="E17" i="62"/>
  <c r="E20" i="62" s="1"/>
  <c r="C17" i="62"/>
  <c r="E15" i="60"/>
  <c r="E16" i="60" s="1"/>
  <c r="E17" i="60" s="1"/>
  <c r="E20" i="60" s="1"/>
  <c r="C16" i="60"/>
  <c r="C17" i="60" s="1"/>
  <c r="D17" i="60"/>
  <c r="D20" i="60" s="1"/>
  <c r="D15" i="59"/>
  <c r="C15" i="59"/>
  <c r="C16" i="59" s="1"/>
  <c r="E17" i="59"/>
  <c r="E20" i="59" s="1"/>
  <c r="D16" i="58"/>
  <c r="C16" i="58"/>
  <c r="E16" i="58"/>
  <c r="E17" i="58" s="1"/>
  <c r="E20" i="58" s="1"/>
  <c r="E17" i="57"/>
  <c r="E20" i="57" s="1"/>
  <c r="D17" i="57"/>
  <c r="D20" i="57" s="1"/>
  <c r="D29" i="62" l="1"/>
  <c r="C20" i="62"/>
  <c r="D26" i="62" s="1"/>
  <c r="D27" i="62" s="1"/>
  <c r="C20" i="60"/>
  <c r="D24" i="60" s="1"/>
  <c r="D25" i="60" s="1"/>
  <c r="D27" i="60"/>
  <c r="C17" i="59"/>
  <c r="D16" i="59"/>
  <c r="D17" i="59" s="1"/>
  <c r="D20" i="59" s="1"/>
  <c r="C17" i="58"/>
  <c r="D17" i="58"/>
  <c r="D20" i="58" s="1"/>
  <c r="D27" i="57"/>
  <c r="C20" i="57"/>
  <c r="D24" i="57" s="1"/>
  <c r="D25" i="57" s="1"/>
  <c r="D27" i="59" l="1"/>
  <c r="C20" i="59"/>
  <c r="D24" i="59" s="1"/>
  <c r="D25" i="59" s="1"/>
  <c r="D27" i="58"/>
  <c r="C20" i="58"/>
  <c r="D24" i="58" s="1"/>
  <c r="D25" i="58" s="1"/>
  <c r="E10" i="56" l="1"/>
  <c r="F8" i="56"/>
  <c r="E5" i="56"/>
  <c r="C10" i="56" s="1"/>
  <c r="D10" i="56" l="1"/>
  <c r="D15" i="56" s="1"/>
  <c r="C15" i="56"/>
  <c r="E15" i="56"/>
  <c r="E16" i="56" s="1"/>
  <c r="C16" i="56" l="1"/>
  <c r="C17" i="56" s="1"/>
  <c r="E17" i="56"/>
  <c r="E20" i="56" s="1"/>
  <c r="D16" i="56"/>
  <c r="D17" i="56" s="1"/>
  <c r="D20" i="56" s="1"/>
  <c r="C20" i="56" l="1"/>
  <c r="D24" i="56" s="1"/>
  <c r="D25" i="56" s="1"/>
  <c r="D27" i="56"/>
  <c r="D11" i="55" l="1"/>
  <c r="C22" i="55"/>
  <c r="C23" i="55" s="1"/>
  <c r="D22" i="54"/>
  <c r="E22" i="54"/>
  <c r="E11" i="53"/>
  <c r="D11" i="53"/>
  <c r="C22" i="52"/>
  <c r="C23" i="52" s="1"/>
  <c r="D11" i="51"/>
  <c r="C22" i="53"/>
  <c r="D22" i="53"/>
  <c r="E22" i="53"/>
  <c r="F22" i="52"/>
  <c r="D22" i="52"/>
  <c r="C23" i="51"/>
  <c r="E22" i="51"/>
  <c r="D22" i="51"/>
  <c r="C22" i="51"/>
  <c r="F22" i="47"/>
  <c r="E22" i="47"/>
  <c r="D22" i="47"/>
  <c r="C25" i="47" s="1"/>
  <c r="C11" i="54"/>
  <c r="E11" i="54"/>
  <c r="D11" i="54"/>
  <c r="D11" i="52"/>
  <c r="E11" i="52"/>
  <c r="F11" i="52"/>
  <c r="E11" i="51"/>
  <c r="C12" i="51"/>
  <c r="F11" i="47"/>
  <c r="C11" i="47"/>
  <c r="D11" i="47"/>
  <c r="D15" i="47" s="1"/>
  <c r="E11" i="47"/>
  <c r="C25" i="53" l="1"/>
  <c r="C25" i="54"/>
  <c r="C12" i="52"/>
  <c r="C14" i="52"/>
  <c r="C12" i="47"/>
  <c r="C12" i="53"/>
  <c r="C23" i="54"/>
  <c r="C23" i="53"/>
  <c r="C12" i="55"/>
  <c r="C12" i="54"/>
  <c r="E20" i="55"/>
  <c r="E9" i="55"/>
  <c r="D15" i="55"/>
  <c r="C15" i="55" l="1"/>
  <c r="D31" i="55"/>
  <c r="G20" i="54"/>
  <c r="E15" i="54"/>
  <c r="D15" i="54"/>
  <c r="C15" i="54"/>
  <c r="G9" i="54"/>
  <c r="E6" i="54"/>
  <c r="G20" i="53"/>
  <c r="E15" i="53"/>
  <c r="D15" i="53"/>
  <c r="C15" i="53"/>
  <c r="G9" i="53"/>
  <c r="E6" i="53"/>
  <c r="G20" i="52"/>
  <c r="F15" i="52"/>
  <c r="E15" i="52"/>
  <c r="D15" i="52"/>
  <c r="C15" i="52"/>
  <c r="G9" i="52"/>
  <c r="E6" i="52"/>
  <c r="G20" i="51"/>
  <c r="E15" i="51"/>
  <c r="D15" i="51"/>
  <c r="C15" i="51"/>
  <c r="G9" i="51"/>
  <c r="E6" i="51"/>
  <c r="C23" i="47" l="1"/>
  <c r="D17" i="55"/>
  <c r="D30" i="55"/>
  <c r="D31" i="54"/>
  <c r="D31" i="53"/>
  <c r="E6" i="47"/>
  <c r="G20" i="47"/>
  <c r="G12" i="49"/>
  <c r="G19" i="49" s="1"/>
  <c r="C13" i="47" l="1"/>
  <c r="E13" i="47"/>
  <c r="F13" i="47"/>
  <c r="D13" i="47"/>
  <c r="C17" i="55"/>
  <c r="D29" i="55"/>
  <c r="D34" i="55" s="1"/>
  <c r="D28" i="55"/>
  <c r="D32" i="55" s="1"/>
  <c r="D30" i="54"/>
  <c r="E17" i="54"/>
  <c r="D30" i="53"/>
  <c r="E17" i="53"/>
  <c r="E17" i="52"/>
  <c r="D31" i="52"/>
  <c r="F17" i="52"/>
  <c r="E17" i="51"/>
  <c r="D31" i="51"/>
  <c r="C14" i="47" l="1"/>
  <c r="D17" i="54"/>
  <c r="D17" i="53"/>
  <c r="D30" i="52"/>
  <c r="D17" i="52"/>
  <c r="D17" i="51"/>
  <c r="D30" i="51"/>
  <c r="D31" i="47"/>
  <c r="C17" i="54" l="1"/>
  <c r="D29" i="54"/>
  <c r="D34" i="54" s="1"/>
  <c r="D28" i="54"/>
  <c r="D32" i="54" s="1"/>
  <c r="D29" i="53"/>
  <c r="D34" i="53" s="1"/>
  <c r="D28" i="53"/>
  <c r="D32" i="53" s="1"/>
  <c r="C17" i="53"/>
  <c r="D29" i="52"/>
  <c r="D34" i="52" s="1"/>
  <c r="C17" i="52"/>
  <c r="D28" i="52"/>
  <c r="D32" i="52" s="1"/>
  <c r="D29" i="51"/>
  <c r="D34" i="51" s="1"/>
  <c r="C17" i="51"/>
  <c r="D28" i="51"/>
  <c r="D32" i="51" s="1"/>
  <c r="D30" i="47"/>
  <c r="G12" i="50" l="1"/>
  <c r="D19" i="50" s="1"/>
  <c r="G9" i="50"/>
  <c r="E5" i="50"/>
  <c r="D21" i="50" s="1"/>
  <c r="C18" i="49"/>
  <c r="C17" i="49"/>
  <c r="C14" i="49"/>
  <c r="C15" i="49" s="1"/>
  <c r="C19" i="49" s="1"/>
  <c r="G11" i="49"/>
  <c r="E5" i="49"/>
  <c r="C11" i="49" s="1"/>
  <c r="F15" i="47"/>
  <c r="E15" i="47"/>
  <c r="C15" i="47"/>
  <c r="G9" i="47"/>
  <c r="F18" i="46"/>
  <c r="E18" i="46"/>
  <c r="D18" i="46"/>
  <c r="C18" i="46"/>
  <c r="D10" i="46"/>
  <c r="G8" i="46"/>
  <c r="E5" i="46"/>
  <c r="E10" i="46" s="1"/>
  <c r="F10" i="46" l="1"/>
  <c r="C16" i="49"/>
  <c r="C20" i="49" s="1"/>
  <c r="C10" i="46"/>
  <c r="C15" i="46" s="1"/>
  <c r="C9" i="50"/>
  <c r="D20" i="50"/>
  <c r="C21" i="49"/>
  <c r="G21" i="49"/>
  <c r="D29" i="49" s="1"/>
  <c r="E15" i="46"/>
  <c r="F15" i="46"/>
  <c r="D15" i="46"/>
  <c r="G19" i="45"/>
  <c r="G12" i="45"/>
  <c r="C12" i="50" l="1"/>
  <c r="C13" i="50" s="1"/>
  <c r="D28" i="49"/>
  <c r="C22" i="49"/>
  <c r="D27" i="49" s="1"/>
  <c r="D33" i="49" s="1"/>
  <c r="E17" i="47"/>
  <c r="F17" i="47"/>
  <c r="D17" i="47"/>
  <c r="E16" i="46"/>
  <c r="E17" i="46" s="1"/>
  <c r="E20" i="46" s="1"/>
  <c r="C16" i="46"/>
  <c r="C17" i="46" s="1"/>
  <c r="F16" i="46"/>
  <c r="F17" i="46" s="1"/>
  <c r="F20" i="46" s="1"/>
  <c r="D16" i="46"/>
  <c r="D17" i="46" s="1"/>
  <c r="D20" i="46" s="1"/>
  <c r="C17" i="47" l="1"/>
  <c r="D28" i="47"/>
  <c r="D32" i="47" s="1"/>
  <c r="D29" i="47"/>
  <c r="D34" i="47" s="1"/>
  <c r="D18" i="50"/>
  <c r="D23" i="50" s="1"/>
  <c r="D17" i="50"/>
  <c r="D26" i="49"/>
  <c r="D30" i="49" s="1"/>
  <c r="D31" i="49"/>
  <c r="D30" i="46"/>
  <c r="C20" i="46"/>
  <c r="D27" i="46" s="1"/>
  <c r="D28" i="46" s="1"/>
  <c r="G12" i="41"/>
  <c r="D19" i="41" s="1"/>
  <c r="G9" i="41"/>
  <c r="E5" i="41"/>
  <c r="C9" i="41" s="1"/>
  <c r="C18" i="45"/>
  <c r="C17" i="45"/>
  <c r="C14" i="45"/>
  <c r="C15" i="45" s="1"/>
  <c r="C19" i="45" s="1"/>
  <c r="G11" i="45"/>
  <c r="E5" i="45"/>
  <c r="C11" i="45" s="1"/>
  <c r="G12" i="44"/>
  <c r="D20" i="44" s="1"/>
  <c r="G9" i="44"/>
  <c r="E5" i="44"/>
  <c r="C9" i="44" s="1"/>
  <c r="C18" i="43"/>
  <c r="C17" i="43"/>
  <c r="C14" i="43"/>
  <c r="C15" i="43" s="1"/>
  <c r="C19" i="43" s="1"/>
  <c r="G12" i="43"/>
  <c r="G19" i="43" s="1"/>
  <c r="G11" i="43"/>
  <c r="E5" i="43"/>
  <c r="C11" i="43" s="1"/>
  <c r="G12" i="42"/>
  <c r="D20" i="42" s="1"/>
  <c r="G9" i="42"/>
  <c r="E5" i="42"/>
  <c r="C9" i="42" s="1"/>
  <c r="G12" i="40"/>
  <c r="D20" i="40" s="1"/>
  <c r="G9" i="40"/>
  <c r="C16" i="43" l="1"/>
  <c r="C20" i="43" s="1"/>
  <c r="C12" i="41"/>
  <c r="C13" i="41" s="1"/>
  <c r="D20" i="41"/>
  <c r="C16" i="45"/>
  <c r="C20" i="45" s="1"/>
  <c r="C21" i="45"/>
  <c r="G21" i="45"/>
  <c r="D29" i="45" s="1"/>
  <c r="C12" i="44"/>
  <c r="D19" i="44"/>
  <c r="C21" i="43"/>
  <c r="C22" i="43" s="1"/>
  <c r="G21" i="43"/>
  <c r="D29" i="43" s="1"/>
  <c r="C12" i="42"/>
  <c r="D19" i="42"/>
  <c r="D19" i="40"/>
  <c r="D17" i="41" l="1"/>
  <c r="D18" i="41"/>
  <c r="D24" i="41" s="1"/>
  <c r="D28" i="45"/>
  <c r="C22" i="45"/>
  <c r="D27" i="45" s="1"/>
  <c r="D33" i="45" s="1"/>
  <c r="C13" i="44"/>
  <c r="D18" i="44" s="1"/>
  <c r="D23" i="44" s="1"/>
  <c r="D28" i="43"/>
  <c r="D27" i="43"/>
  <c r="D33" i="43" s="1"/>
  <c r="D26" i="43"/>
  <c r="C13" i="42"/>
  <c r="D18" i="42" s="1"/>
  <c r="D23" i="42" s="1"/>
  <c r="D22" i="41" l="1"/>
  <c r="D21" i="41"/>
  <c r="D26" i="45"/>
  <c r="D17" i="44"/>
  <c r="D21" i="44" s="1"/>
  <c r="D31" i="43"/>
  <c r="D30" i="43"/>
  <c r="D17" i="42"/>
  <c r="D21" i="42" s="1"/>
  <c r="D30" i="45" l="1"/>
  <c r="D31" i="45"/>
  <c r="E5" i="40" l="1"/>
  <c r="D21" i="40" s="1"/>
  <c r="C9" i="40" l="1"/>
  <c r="E5" i="38"/>
  <c r="E5" i="37"/>
  <c r="E5" i="33"/>
  <c r="E5" i="34"/>
  <c r="E5" i="26"/>
  <c r="E5" i="22"/>
  <c r="E5" i="5"/>
  <c r="E5" i="2"/>
  <c r="E5" i="27"/>
  <c r="F5" i="18"/>
  <c r="H8" i="18"/>
  <c r="C12" i="40" l="1"/>
  <c r="C13" i="40" s="1"/>
  <c r="D17" i="40" l="1"/>
  <c r="F9" i="21"/>
  <c r="D18" i="40" l="1"/>
  <c r="D23" i="40" s="1"/>
  <c r="C18" i="36"/>
  <c r="D18" i="36"/>
  <c r="E18" i="19" l="1"/>
  <c r="D18" i="19"/>
  <c r="C18" i="19"/>
  <c r="E18" i="30"/>
  <c r="D18" i="30"/>
  <c r="C18" i="30"/>
  <c r="F18" i="13"/>
  <c r="E18" i="13"/>
  <c r="D18" i="13"/>
  <c r="C18" i="13"/>
  <c r="E19" i="21"/>
  <c r="D19" i="21"/>
  <c r="C19" i="21"/>
  <c r="C18" i="38" l="1"/>
  <c r="D8" i="38"/>
  <c r="C10" i="38"/>
  <c r="D8" i="37"/>
  <c r="C18" i="37"/>
  <c r="C10" i="37"/>
  <c r="C15" i="37" s="1"/>
  <c r="E18" i="33"/>
  <c r="D18" i="33"/>
  <c r="C18" i="33"/>
  <c r="E18" i="34"/>
  <c r="D18" i="34"/>
  <c r="C18" i="34"/>
  <c r="E18" i="26"/>
  <c r="D18" i="26"/>
  <c r="C18" i="26"/>
  <c r="D18" i="22"/>
  <c r="C18" i="5"/>
  <c r="D18" i="5"/>
  <c r="E18" i="5"/>
  <c r="F18" i="5"/>
  <c r="E18" i="2"/>
  <c r="D18" i="2"/>
  <c r="C18" i="2"/>
  <c r="C15" i="38" l="1"/>
  <c r="C16" i="37"/>
  <c r="C17" i="37" s="1"/>
  <c r="F18" i="27"/>
  <c r="E18" i="27"/>
  <c r="D18" i="27"/>
  <c r="C18" i="27"/>
  <c r="E18" i="10"/>
  <c r="D18" i="10"/>
  <c r="C18" i="10"/>
  <c r="D18" i="16"/>
  <c r="C18" i="16"/>
  <c r="C16" i="38" l="1"/>
  <c r="C17" i="38" s="1"/>
  <c r="C20" i="38" s="1"/>
  <c r="C20" i="37"/>
  <c r="D22" i="37" s="1"/>
  <c r="D23" i="37" s="1"/>
  <c r="D25" i="37"/>
  <c r="G18" i="18"/>
  <c r="F18" i="18"/>
  <c r="E18" i="18"/>
  <c r="D18" i="18"/>
  <c r="C18" i="18"/>
  <c r="F18" i="7"/>
  <c r="E18" i="7"/>
  <c r="D18" i="7"/>
  <c r="C18" i="7"/>
  <c r="D22" i="38" l="1"/>
  <c r="D23" i="38" s="1"/>
  <c r="D25" i="38"/>
  <c r="E18" i="20"/>
  <c r="D18" i="20"/>
  <c r="C18" i="20"/>
  <c r="D18" i="6"/>
  <c r="C18" i="6"/>
  <c r="E8" i="36" l="1"/>
  <c r="E5" i="36"/>
  <c r="C10" i="36" s="1"/>
  <c r="C15" i="36" s="1"/>
  <c r="C16" i="36" l="1"/>
  <c r="D10" i="36"/>
  <c r="F8" i="34"/>
  <c r="E10" i="34"/>
  <c r="E15" i="34" s="1"/>
  <c r="E16" i="34" s="1"/>
  <c r="E17" i="34" s="1"/>
  <c r="E20" i="34" s="1"/>
  <c r="D15" i="36" l="1"/>
  <c r="C17" i="36"/>
  <c r="C10" i="34"/>
  <c r="C15" i="34" s="1"/>
  <c r="D10" i="34"/>
  <c r="D15" i="34" s="1"/>
  <c r="D16" i="34" s="1"/>
  <c r="D17" i="34" s="1"/>
  <c r="D20" i="34" s="1"/>
  <c r="F8" i="33"/>
  <c r="C10" i="33"/>
  <c r="C15" i="33" s="1"/>
  <c r="C16" i="33" l="1"/>
  <c r="C17" i="33" s="1"/>
  <c r="C16" i="34"/>
  <c r="C17" i="34" s="1"/>
  <c r="D16" i="36"/>
  <c r="D17" i="36" s="1"/>
  <c r="C20" i="36"/>
  <c r="D10" i="33"/>
  <c r="D15" i="33" s="1"/>
  <c r="D16" i="33" s="1"/>
  <c r="D17" i="33" s="1"/>
  <c r="D20" i="33" s="1"/>
  <c r="E10" i="33"/>
  <c r="C20" i="33" l="1"/>
  <c r="E15" i="33"/>
  <c r="E16" i="33" s="1"/>
  <c r="E17" i="33" s="1"/>
  <c r="C20" i="34"/>
  <c r="D24" i="34" s="1"/>
  <c r="D25" i="34" s="1"/>
  <c r="D27" i="34"/>
  <c r="D20" i="36"/>
  <c r="D24" i="36" s="1"/>
  <c r="D25" i="36" s="1"/>
  <c r="D27" i="36"/>
  <c r="F8" i="30"/>
  <c r="E5" i="30"/>
  <c r="E20" i="33" l="1"/>
  <c r="D24" i="33" s="1"/>
  <c r="D25" i="33" s="1"/>
  <c r="D27" i="33"/>
  <c r="D10" i="30"/>
  <c r="D15" i="30" s="1"/>
  <c r="C10" i="30"/>
  <c r="C15" i="30" s="1"/>
  <c r="E10" i="30"/>
  <c r="E15" i="30" s="1"/>
  <c r="E6" i="21"/>
  <c r="G8" i="27"/>
  <c r="F10" i="27"/>
  <c r="F8" i="26"/>
  <c r="D10" i="26"/>
  <c r="D15" i="26" s="1"/>
  <c r="D16" i="26" s="1"/>
  <c r="D17" i="26" s="1"/>
  <c r="D20" i="26" s="1"/>
  <c r="E8" i="22"/>
  <c r="D10" i="22"/>
  <c r="D10" i="18"/>
  <c r="E5" i="20"/>
  <c r="C10" i="20" s="1"/>
  <c r="F8" i="20"/>
  <c r="F8" i="6"/>
  <c r="E5" i="6"/>
  <c r="D10" i="6" s="1"/>
  <c r="E8" i="16"/>
  <c r="E5" i="7"/>
  <c r="E10" i="7" s="1"/>
  <c r="E5" i="19"/>
  <c r="F8" i="19"/>
  <c r="E10" i="5"/>
  <c r="G8" i="5"/>
  <c r="E10" i="2"/>
  <c r="F8" i="2"/>
  <c r="E5" i="13"/>
  <c r="E5" i="10"/>
  <c r="E10" i="10" s="1"/>
  <c r="F8" i="10"/>
  <c r="E5" i="16"/>
  <c r="C10" i="16" s="1"/>
  <c r="G8" i="7"/>
  <c r="G8" i="13"/>
  <c r="E15" i="7" l="1"/>
  <c r="E16" i="7" s="1"/>
  <c r="E17" i="7" s="1"/>
  <c r="E20" i="7" s="1"/>
  <c r="C10" i="22"/>
  <c r="C15" i="22" s="1"/>
  <c r="C16" i="22" s="1"/>
  <c r="C17" i="22" s="1"/>
  <c r="D15" i="22"/>
  <c r="D16" i="22" s="1"/>
  <c r="D17" i="22" s="1"/>
  <c r="D20" i="22" s="1"/>
  <c r="E15" i="5"/>
  <c r="E16" i="5" s="1"/>
  <c r="E17" i="5" s="1"/>
  <c r="E20" i="5" s="1"/>
  <c r="E15" i="2"/>
  <c r="E16" i="2" s="1"/>
  <c r="E17" i="2" s="1"/>
  <c r="E20" i="2" s="1"/>
  <c r="F15" i="27"/>
  <c r="F16" i="27" s="1"/>
  <c r="F17" i="27" s="1"/>
  <c r="F20" i="27" s="1"/>
  <c r="E15" i="10"/>
  <c r="E16" i="10" s="1"/>
  <c r="E17" i="10" s="1"/>
  <c r="E20" i="10" s="1"/>
  <c r="C15" i="16"/>
  <c r="C16" i="16" s="1"/>
  <c r="C17" i="16" s="1"/>
  <c r="G10" i="18"/>
  <c r="G15" i="18" s="1"/>
  <c r="C10" i="18"/>
  <c r="D15" i="18"/>
  <c r="D16" i="18" s="1"/>
  <c r="C15" i="20"/>
  <c r="C16" i="20" s="1"/>
  <c r="C17" i="20" s="1"/>
  <c r="D15" i="6"/>
  <c r="E11" i="21"/>
  <c r="D11" i="21"/>
  <c r="C11" i="21"/>
  <c r="F10" i="13"/>
  <c r="F15" i="13" s="1"/>
  <c r="F16" i="13" s="1"/>
  <c r="C10" i="13"/>
  <c r="C15" i="13" s="1"/>
  <c r="D10" i="13"/>
  <c r="D15" i="13" s="1"/>
  <c r="E10" i="13"/>
  <c r="E15" i="13" s="1"/>
  <c r="E16" i="30"/>
  <c r="E17" i="30" s="1"/>
  <c r="E20" i="30" s="1"/>
  <c r="D16" i="30"/>
  <c r="D17" i="30" s="1"/>
  <c r="D20" i="30" s="1"/>
  <c r="C16" i="30"/>
  <c r="E10" i="19"/>
  <c r="D10" i="19"/>
  <c r="D15" i="19" s="1"/>
  <c r="D16" i="19" s="1"/>
  <c r="C10" i="19"/>
  <c r="E10" i="6"/>
  <c r="C10" i="6"/>
  <c r="D10" i="16"/>
  <c r="C10" i="26"/>
  <c r="C15" i="26" s="1"/>
  <c r="E10" i="26"/>
  <c r="F10" i="5"/>
  <c r="D10" i="5"/>
  <c r="D15" i="5" s="1"/>
  <c r="D16" i="5" s="1"/>
  <c r="D17" i="5" s="1"/>
  <c r="D20" i="5" s="1"/>
  <c r="C10" i="5"/>
  <c r="C15" i="5" s="1"/>
  <c r="C16" i="5" s="1"/>
  <c r="C17" i="5" s="1"/>
  <c r="C10" i="2"/>
  <c r="C15" i="2" s="1"/>
  <c r="C16" i="2" s="1"/>
  <c r="D10" i="2"/>
  <c r="D15" i="2" s="1"/>
  <c r="D16" i="2" s="1"/>
  <c r="D17" i="2" s="1"/>
  <c r="D20" i="2" s="1"/>
  <c r="C10" i="27"/>
  <c r="E10" i="27"/>
  <c r="E15" i="27" s="1"/>
  <c r="E16" i="27" s="1"/>
  <c r="E17" i="27" s="1"/>
  <c r="E20" i="27" s="1"/>
  <c r="D10" i="27"/>
  <c r="D15" i="27" s="1"/>
  <c r="D16" i="27" s="1"/>
  <c r="D17" i="27" s="1"/>
  <c r="D20" i="27" s="1"/>
  <c r="F10" i="18"/>
  <c r="E10" i="18"/>
  <c r="F10" i="7"/>
  <c r="C10" i="7"/>
  <c r="D10" i="7"/>
  <c r="D15" i="7" s="1"/>
  <c r="D16" i="7" s="1"/>
  <c r="D17" i="7" s="1"/>
  <c r="D20" i="7" s="1"/>
  <c r="D10" i="10"/>
  <c r="C10" i="10"/>
  <c r="D10" i="20"/>
  <c r="D15" i="20" s="1"/>
  <c r="D16" i="20" s="1"/>
  <c r="D17" i="20" s="1"/>
  <c r="D20" i="20" s="1"/>
  <c r="E10" i="20"/>
  <c r="E15" i="20" s="1"/>
  <c r="E16" i="20" s="1"/>
  <c r="E17" i="20" s="1"/>
  <c r="E20" i="20" s="1"/>
  <c r="C17" i="2" l="1"/>
  <c r="D29" i="2" s="1"/>
  <c r="C16" i="26"/>
  <c r="C17" i="26" s="1"/>
  <c r="E15" i="26"/>
  <c r="E16" i="26" s="1"/>
  <c r="E17" i="26" s="1"/>
  <c r="E20" i="26" s="1"/>
  <c r="C20" i="22"/>
  <c r="D24" i="22" s="1"/>
  <c r="D25" i="22" s="1"/>
  <c r="D27" i="22"/>
  <c r="C20" i="5"/>
  <c r="F15" i="5"/>
  <c r="F16" i="5" s="1"/>
  <c r="F17" i="5" s="1"/>
  <c r="F20" i="5" s="1"/>
  <c r="C15" i="27"/>
  <c r="C16" i="27" s="1"/>
  <c r="C17" i="27" s="1"/>
  <c r="D15" i="10"/>
  <c r="D16" i="10" s="1"/>
  <c r="D17" i="10" s="1"/>
  <c r="D20" i="10" s="1"/>
  <c r="C15" i="10"/>
  <c r="C16" i="10" s="1"/>
  <c r="C17" i="10" s="1"/>
  <c r="C20" i="16"/>
  <c r="D15" i="16"/>
  <c r="D16" i="16" s="1"/>
  <c r="D17" i="16" s="1"/>
  <c r="D20" i="16" s="1"/>
  <c r="F15" i="18"/>
  <c r="F16" i="18" s="1"/>
  <c r="F17" i="18" s="1"/>
  <c r="F20" i="18" s="1"/>
  <c r="E15" i="18"/>
  <c r="E16" i="18" s="1"/>
  <c r="E17" i="18" s="1"/>
  <c r="E20" i="18" s="1"/>
  <c r="D17" i="18"/>
  <c r="D20" i="18" s="1"/>
  <c r="C15" i="18"/>
  <c r="C16" i="18" s="1"/>
  <c r="G16" i="18"/>
  <c r="G17" i="18" s="1"/>
  <c r="G20" i="18" s="1"/>
  <c r="C15" i="7"/>
  <c r="C16" i="7" s="1"/>
  <c r="C17" i="7" s="1"/>
  <c r="F15" i="7"/>
  <c r="F16" i="7" s="1"/>
  <c r="F17" i="7" s="1"/>
  <c r="F20" i="7" s="1"/>
  <c r="C20" i="20"/>
  <c r="D24" i="20" s="1"/>
  <c r="D25" i="20" s="1"/>
  <c r="D27" i="20"/>
  <c r="C15" i="6"/>
  <c r="E15" i="6"/>
  <c r="D16" i="6"/>
  <c r="D17" i="6" s="1"/>
  <c r="D20" i="6" s="1"/>
  <c r="C16" i="21"/>
  <c r="D16" i="21"/>
  <c r="D17" i="21" s="1"/>
  <c r="E16" i="21"/>
  <c r="E17" i="21" s="1"/>
  <c r="E16" i="13"/>
  <c r="E17" i="13" s="1"/>
  <c r="E20" i="13" s="1"/>
  <c r="D16" i="13"/>
  <c r="D17" i="13" s="1"/>
  <c r="D20" i="13" s="1"/>
  <c r="C16" i="13"/>
  <c r="C17" i="13" s="1"/>
  <c r="F17" i="13"/>
  <c r="F20" i="13" s="1"/>
  <c r="C17" i="30"/>
  <c r="D27" i="30" s="1"/>
  <c r="D17" i="19"/>
  <c r="D20" i="19" s="1"/>
  <c r="C15" i="19"/>
  <c r="C16" i="19" s="1"/>
  <c r="E15" i="19"/>
  <c r="E16" i="19" s="1"/>
  <c r="E17" i="19" s="1"/>
  <c r="E20" i="19" s="1"/>
  <c r="D27" i="5" l="1"/>
  <c r="D28" i="5" s="1"/>
  <c r="D30" i="5"/>
  <c r="C20" i="2"/>
  <c r="D26" i="2" s="1"/>
  <c r="D27" i="2" s="1"/>
  <c r="D27" i="10"/>
  <c r="D27" i="26"/>
  <c r="C20" i="26"/>
  <c r="D24" i="26" s="1"/>
  <c r="D25" i="26" s="1"/>
  <c r="C20" i="27"/>
  <c r="D24" i="27" s="1"/>
  <c r="D25" i="27" s="1"/>
  <c r="D27" i="27"/>
  <c r="C20" i="10"/>
  <c r="D24" i="16"/>
  <c r="D25" i="16" s="1"/>
  <c r="D27" i="16"/>
  <c r="D27" i="7"/>
  <c r="C17" i="18"/>
  <c r="C20" i="7"/>
  <c r="D24" i="7" s="1"/>
  <c r="D25" i="7" s="1"/>
  <c r="E16" i="6"/>
  <c r="E17" i="6" s="1"/>
  <c r="E20" i="6" s="1"/>
  <c r="C16" i="6"/>
  <c r="C17" i="6" s="1"/>
  <c r="E18" i="21"/>
  <c r="E21" i="21" s="1"/>
  <c r="D18" i="21"/>
  <c r="D21" i="21" s="1"/>
  <c r="C17" i="21"/>
  <c r="C17" i="19"/>
  <c r="D27" i="19" s="1"/>
  <c r="C20" i="13"/>
  <c r="D24" i="13" s="1"/>
  <c r="D25" i="13" s="1"/>
  <c r="D27" i="13"/>
  <c r="C20" i="30"/>
  <c r="D24" i="30" s="1"/>
  <c r="D25" i="30" s="1"/>
  <c r="D24" i="10" l="1"/>
  <c r="D25" i="10" s="1"/>
  <c r="C20" i="18"/>
  <c r="D24" i="18" s="1"/>
  <c r="D25" i="18" s="1"/>
  <c r="D27" i="18"/>
  <c r="D27" i="6"/>
  <c r="C20" i="6"/>
  <c r="D24" i="6" s="1"/>
  <c r="D25" i="6" s="1"/>
  <c r="B22" i="21"/>
  <c r="B23" i="21" s="1"/>
  <c r="C18" i="21"/>
  <c r="C20" i="19"/>
  <c r="C21" i="21" l="1"/>
  <c r="D27" i="21" s="1"/>
  <c r="D28" i="21" s="1"/>
  <c r="D24" i="19"/>
  <c r="D25" i="19" s="1"/>
  <c r="D30" i="21"/>
  <c r="D16" i="61" l="1"/>
  <c r="C16" i="61"/>
  <c r="C17" i="61" s="1"/>
  <c r="C20" i="61" l="1"/>
  <c r="D17" i="61"/>
  <c r="D20" i="61" s="1"/>
  <c r="D26" i="61" l="1"/>
  <c r="D27" i="61" s="1"/>
  <c r="D29" i="61"/>
</calcChain>
</file>

<file path=xl/sharedStrings.xml><?xml version="1.0" encoding="utf-8"?>
<sst xmlns="http://schemas.openxmlformats.org/spreadsheetml/2006/main" count="2156" uniqueCount="334">
  <si>
    <t>PRODUCT</t>
  </si>
  <si>
    <t>PCS REQ'D</t>
  </si>
  <si>
    <t xml:space="preserve">Mason will require approximately </t>
  </si>
  <si>
    <t>lbs.</t>
  </si>
  <si>
    <t>70lb. (30kg) bags of mortar mix**.</t>
  </si>
  <si>
    <t xml:space="preserve">Enter total WALL AREA* (SQFT): </t>
  </si>
  <si>
    <t>Basic Arriscraft.CARE</t>
  </si>
  <si>
    <t>^ Internet connection required.</t>
  </si>
  <si>
    <t>** Rough estimate only.  Will vary with sand, mortar composition, waste, joint finish and workmanship.</t>
  </si>
  <si>
    <t>1.800.265.8123</t>
  </si>
  <si>
    <t>www.arriscraft.com</t>
  </si>
  <si>
    <t>BOND</t>
  </si>
  <si>
    <r>
      <t>Mason will require approximately</t>
    </r>
    <r>
      <rPr>
        <sz val="8"/>
        <rFont val="Arial"/>
        <family val="2"/>
      </rPr>
      <t xml:space="preserve"> </t>
    </r>
  </si>
  <si>
    <t>Enter waste allowance (%):</t>
  </si>
  <si>
    <t>Description</t>
  </si>
  <si>
    <t>Name</t>
  </si>
  <si>
    <t>Project Notes:</t>
  </si>
  <si>
    <t>square feet of Laurier Building Stone.</t>
  </si>
  <si>
    <t>square feet of Cumberland Building Stone.</t>
  </si>
  <si>
    <t>CIT23</t>
  </si>
  <si>
    <t>CIT36</t>
  </si>
  <si>
    <t>CIT52</t>
  </si>
  <si>
    <t>CIT81</t>
  </si>
  <si>
    <t>GC23</t>
  </si>
  <si>
    <t>GC35</t>
  </si>
  <si>
    <t>GC52</t>
  </si>
  <si>
    <t>GC81</t>
  </si>
  <si>
    <t>CUM35</t>
  </si>
  <si>
    <t>CUM75</t>
  </si>
  <si>
    <t>CUM115</t>
  </si>
  <si>
    <t>SHA22</t>
  </si>
  <si>
    <t>SHA50</t>
  </si>
  <si>
    <t>LAU23</t>
  </si>
  <si>
    <t>LAU52</t>
  </si>
  <si>
    <t>LAU81</t>
  </si>
  <si>
    <t>LAU11</t>
  </si>
  <si>
    <t>Enter percentage of OC21 with BROWN highlight^^:</t>
  </si>
  <si>
    <t>OC21</t>
  </si>
  <si>
    <t>OC34</t>
  </si>
  <si>
    <t>OC46</t>
  </si>
  <si>
    <t>square feet of Old Country Building Stone.</t>
  </si>
  <si>
    <t>Edge Rock</t>
  </si>
  <si>
    <t>EDG50</t>
  </si>
  <si>
    <t>EDG102</t>
  </si>
  <si>
    <t>square feet of Edge Rock Building Stone.</t>
  </si>
  <si>
    <t>FRE23</t>
  </si>
  <si>
    <t>FRE52</t>
  </si>
  <si>
    <t>FRE81</t>
  </si>
  <si>
    <t>square feet of Fresco Building Stone.</t>
  </si>
  <si>
    <t>Please consult with your Arriscraft Sales Representative.</t>
  </si>
  <si>
    <t>square feet of Urban Ledgestone.</t>
  </si>
  <si>
    <t>UL22</t>
  </si>
  <si>
    <t>UL35</t>
  </si>
  <si>
    <t>UL50</t>
  </si>
  <si>
    <t>Mason's Instructions - English</t>
  </si>
  <si>
    <t>Links to Additional Information:</t>
  </si>
  <si>
    <t>ThinClad.CARE</t>
  </si>
  <si>
    <t>Mason's Instructions - Spanish</t>
  </si>
  <si>
    <t>Cuidado Basico de Arriscraft</t>
  </si>
  <si>
    <t>Matterhorn</t>
  </si>
  <si>
    <t>MAT50</t>
  </si>
  <si>
    <t>MAT102</t>
  </si>
  <si>
    <t>/ti</t>
  </si>
  <si>
    <t>Row1</t>
  </si>
  <si>
    <t>Row2</t>
  </si>
  <si>
    <t># PCS</t>
  </si>
  <si>
    <t>AREA / PC</t>
  </si>
  <si>
    <t>PCS / SKID</t>
  </si>
  <si>
    <t># SKIDS</t>
  </si>
  <si>
    <t>WEIGHT / PC</t>
  </si>
  <si>
    <t>WEIGHT / SKID</t>
  </si>
  <si>
    <t>ACTUAL SQFT</t>
  </si>
  <si>
    <t>total rows of OC21 Base Color</t>
  </si>
  <si>
    <t>total rows of OC21 BROWN</t>
  </si>
  <si>
    <t>square feet of Matterhorn Building Stone.</t>
  </si>
  <si>
    <t>WEIGHT / PKG</t>
  </si>
  <si>
    <t>Enter total ext vertical corners (ft):</t>
  </si>
  <si>
    <t>Contemporary Brick</t>
  </si>
  <si>
    <t>CON31</t>
  </si>
  <si>
    <t>TVB31</t>
  </si>
  <si>
    <t>Tumbled Vintage Brick</t>
  </si>
  <si>
    <t>square feet of Tumbled Vintage Brick.</t>
  </si>
  <si>
    <t>square feet of Contemporary Brick</t>
  </si>
  <si>
    <t>PCS / LAYER</t>
  </si>
  <si>
    <t># LAYERS</t>
  </si>
  <si>
    <t>Total (sqft):</t>
  </si>
  <si>
    <t>Enter total WALL AREA* (SQFT):</t>
  </si>
  <si>
    <r>
      <rPr>
        <b/>
        <sz val="10"/>
        <rFont val="Arial Narrow"/>
        <family val="2"/>
      </rPr>
      <t xml:space="preserve">Note: </t>
    </r>
    <r>
      <rPr>
        <sz val="10"/>
        <rFont val="Arial Narrow"/>
        <family val="2"/>
      </rPr>
      <t>If Building Stone products are to be ordered outside of their standard bond ratios, special pricing may apply.</t>
    </r>
  </si>
  <si>
    <r>
      <t>Note:</t>
    </r>
    <r>
      <rPr>
        <sz val="10"/>
        <rFont val="Arial Narrow"/>
        <family val="2"/>
      </rPr>
      <t xml:space="preserve"> If Building Stone products are to be ordered outside of their standard bond ratios, special pricing may apply.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</si>
  <si>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23-5/8" length and may be comprised of 2 or more individual stones.</t>
    </r>
  </si>
  <si>
    <r>
      <t xml:space="preserve">NOTE: </t>
    </r>
    <r>
      <rPr>
        <sz val="9"/>
        <rFont val="Arial Narrow"/>
        <family val="2"/>
      </rPr>
      <t>One PC is based on a 23-5/8" length and may be comprised of 2 or more individual stones.</t>
    </r>
  </si>
  <si>
    <r>
      <rPr>
        <b/>
        <sz val="10"/>
        <rFont val="Arial Narrow"/>
        <family val="2"/>
      </rPr>
      <t xml:space="preserve">Note: </t>
    </r>
    <r>
      <rPr>
        <sz val="10"/>
        <rFont val="Arial Narrow"/>
        <family val="2"/>
      </rPr>
      <t>15 rows make up 1 skid of OC21</t>
    </r>
  </si>
  <si>
    <t>This combination of skids is equivalent to</t>
  </si>
  <si>
    <r>
      <t>square feet of Citadel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Building Stone.</t>
    </r>
  </si>
  <si>
    <t>Mason will require approximately</t>
  </si>
  <si>
    <t>The total weight for this order is</t>
  </si>
  <si>
    <r>
      <t>The total weight for this order is</t>
    </r>
    <r>
      <rPr>
        <b/>
        <sz val="10"/>
        <rFont val="Arial"/>
        <family val="2"/>
      </rPr>
      <t xml:space="preserve"> </t>
    </r>
  </si>
  <si>
    <t>This quantity of boxes is equivalent to</t>
  </si>
  <si>
    <t>CORNERS</t>
  </si>
  <si>
    <t>FLATS</t>
  </si>
  <si>
    <t>SQFT REQ'D</t>
  </si>
  <si>
    <t>The total weight for the flats is</t>
  </si>
  <si>
    <t>The total weight for the corners is</t>
  </si>
  <si>
    <r>
      <t>square feet of Shadow Stone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Building Stone.</t>
    </r>
  </si>
  <si>
    <r>
      <t xml:space="preserve">Note: </t>
    </r>
    <r>
      <rPr>
        <i/>
        <sz val="10"/>
        <rFont val="Arial Narrow"/>
        <family val="2"/>
      </rPr>
      <t xml:space="preserve">Mosaic Blend </t>
    </r>
    <r>
      <rPr>
        <sz val="10"/>
        <rFont val="Arial Narrow"/>
        <family val="2"/>
      </rPr>
      <t>includes LAU11 Ivory White.</t>
    </r>
  </si>
  <si>
    <t>Pierre de Construction Urbaine</t>
  </si>
  <si>
    <t>^^ If the customer has selected the BROWN highlight, the standard blend has 40% of the OC21 as BROWN.  These skids must be ordered separately from the base color.</t>
  </si>
  <si>
    <t># PKGS</t>
  </si>
  <si>
    <t>COVERAGE</t>
  </si>
  <si>
    <t>5 LF BOX</t>
  </si>
  <si>
    <t>COVERAGE (BOX)</t>
  </si>
  <si>
    <t>COVERAGE (SKID)</t>
  </si>
  <si>
    <t># BOXES</t>
  </si>
  <si>
    <t>WEIGHT / BOX</t>
  </si>
  <si>
    <t>This combination of flats is equivalent to</t>
  </si>
  <si>
    <t>CU3</t>
  </si>
  <si>
    <t>GC3</t>
  </si>
  <si>
    <t>GC4</t>
  </si>
  <si>
    <t>OC3</t>
  </si>
  <si>
    <t>MH2</t>
  </si>
  <si>
    <t>Cumberland</t>
  </si>
  <si>
    <t>Old Country</t>
  </si>
  <si>
    <t>Full-Bed Building Stone (Fort Valley, GA)</t>
  </si>
  <si>
    <t>AS3</t>
  </si>
  <si>
    <t>MID218</t>
  </si>
  <si>
    <t>MID358</t>
  </si>
  <si>
    <t>COA3</t>
  </si>
  <si>
    <t>Coastal Series</t>
  </si>
  <si>
    <t>Thin-Clad Building Stone (Fort Valley, GA)</t>
  </si>
  <si>
    <t>CD3</t>
  </si>
  <si>
    <t>CD3b</t>
  </si>
  <si>
    <t>CD4</t>
  </si>
  <si>
    <t>CD5</t>
  </si>
  <si>
    <t>SH2</t>
  </si>
  <si>
    <t>SH3</t>
  </si>
  <si>
    <t>SH4</t>
  </si>
  <si>
    <t>LR3</t>
  </si>
  <si>
    <t>LR4</t>
  </si>
  <si>
    <t>ER2</t>
  </si>
  <si>
    <t>FR3</t>
  </si>
  <si>
    <t>UL3a</t>
  </si>
  <si>
    <t>UL3c</t>
  </si>
  <si>
    <t>Full-Bed Building Stone (Cambridge, ON)</t>
  </si>
  <si>
    <t>Citadel® - 4 Unit</t>
  </si>
  <si>
    <t>Citadel® - 5 Unit (w/ OLD11)</t>
  </si>
  <si>
    <t>Shadow Stone® - 2 Unit</t>
  </si>
  <si>
    <t>Shadow Stone® - 3 Unit</t>
  </si>
  <si>
    <t>Shadow Stone® - 4 Unit (w/ EDG102)</t>
  </si>
  <si>
    <t>Laurier - 3 Unit</t>
  </si>
  <si>
    <t>Laurier - 4 Unit</t>
  </si>
  <si>
    <t>Fresco</t>
  </si>
  <si>
    <t>Urban Ledgestone - Ashlar Bond</t>
  </si>
  <si>
    <t>Urban Ledgestone - Coursed Bond</t>
  </si>
  <si>
    <t>Brick (Cambridge, ON)</t>
  </si>
  <si>
    <r>
      <t>Georgia 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- 3 Unit</t>
    </r>
  </si>
  <si>
    <r>
      <t>Georgia 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- 4 Unit</t>
    </r>
  </si>
  <si>
    <t>Midtown 2-1/8" (Dry Stack)</t>
  </si>
  <si>
    <t>Midtown 2-1/8" (Mortar Joint)</t>
  </si>
  <si>
    <t>Midtown 3-5/8" (Dry Stack)</t>
  </si>
  <si>
    <t>Midtown 3-5/8" (Mortar Joint)</t>
  </si>
  <si>
    <t>MID218j</t>
  </si>
  <si>
    <t>MID358j</t>
  </si>
  <si>
    <t>Cumberland (20:50:30 Bond)</t>
  </si>
  <si>
    <r>
      <t>Georgia 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(25:50:25 Bond)</t>
    </r>
  </si>
  <si>
    <r>
      <t>square feet of Georgia Citadel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Building Stone.</t>
    </r>
  </si>
  <si>
    <r>
      <t>Georgia 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(20:20:40:20 Bond)</t>
    </r>
  </si>
  <si>
    <t xml:space="preserve"> NOTE: When the GC35 size is omitted from the wall, the overall range of color may be changed.</t>
  </si>
  <si>
    <t>Old Country (40:40:20 Bond)</t>
  </si>
  <si>
    <t>FT REQ'D</t>
  </si>
  <si>
    <t>50lb. (22kg) bags of MVIS™ Hi-Bond or Thin Brick Mortar**.</t>
  </si>
  <si>
    <t>square feet of Midtown 2-1/8" flats.</t>
  </si>
  <si>
    <t>lineal feet of Midtown 2-1/8" corners.</t>
  </si>
  <si>
    <t>Mortar Joint (in):</t>
  </si>
  <si>
    <t>Note: Adding 3/8" or 1/2" joint will increase square foot coverage.</t>
  </si>
  <si>
    <t>JOINT 3/8</t>
  </si>
  <si>
    <t>PCS / BOX</t>
  </si>
  <si>
    <t>JOINT 1/2</t>
  </si>
  <si>
    <t>AREA / PC (DRY)</t>
  </si>
  <si>
    <t>AREA / PC (3/8)</t>
  </si>
  <si>
    <t>AREA / PC (1/2)</t>
  </si>
  <si>
    <t>50lb. (22kg) bags of MVIS™ Pointing Mortar**.</t>
  </si>
  <si>
    <t>square feet of Midtown 3-5/8" flats.</t>
  </si>
  <si>
    <t>lineal feet of Midtown 3-5/8" corners.</t>
  </si>
  <si>
    <t>Coastal Series (30:55:15 Bond)</t>
  </si>
  <si>
    <t>square feet of Coastal Series flats.</t>
  </si>
  <si>
    <t>lineal feet of Coastal Series corners.</t>
  </si>
  <si>
    <r>
      <t>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- 3 Unit (CIT23, CIT52, CIT81)</t>
    </r>
  </si>
  <si>
    <r>
      <t>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- 3 Unit (CIT23, CIT36, CIT52)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</si>
  <si>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30-7/16" length and may be comprised of 2 or more individual bricks.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</si>
  <si>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equals one individual brick.</t>
    </r>
  </si>
  <si>
    <t>Matterhorn (75:25 Bond)</t>
  </si>
  <si>
    <r>
      <t>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(20:40:40 Bond)</t>
    </r>
  </si>
  <si>
    <r>
      <t>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(25:50:25 Bond) NO CIT36</t>
    </r>
  </si>
  <si>
    <t xml:space="preserve"> NOTE: When the CIT36 size is omitted from the wall, the overall range of color may be changed.</t>
  </si>
  <si>
    <r>
      <t>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(20:20:40:20 Bond)</t>
    </r>
  </si>
  <si>
    <t>Edge Rock (75:25 Bond)</t>
  </si>
  <si>
    <t>Fresco (25:50:25 Bond)</t>
  </si>
  <si>
    <t>Laurier - 3 Unit (20:50:30 Bond)</t>
  </si>
  <si>
    <r>
      <t xml:space="preserve">Note: </t>
    </r>
    <r>
      <rPr>
        <i/>
        <sz val="10"/>
        <rFont val="Arial Narrow"/>
        <family val="2"/>
      </rPr>
      <t>Onyx</t>
    </r>
    <r>
      <rPr>
        <sz val="10"/>
        <rFont val="Arial Narrow"/>
        <family val="2"/>
      </rPr>
      <t xml:space="preserve"> price is only applicable if ordered in standard bond ratio.</t>
    </r>
  </si>
  <si>
    <r>
      <rPr>
        <b/>
        <sz val="10"/>
        <rFont val="Arial Narrow"/>
        <family val="2"/>
      </rPr>
      <t xml:space="preserve">Note: </t>
    </r>
    <r>
      <rPr>
        <i/>
        <sz val="10"/>
        <rFont val="Arial Narrow"/>
        <family val="2"/>
      </rPr>
      <t>Honey Brown/Maple Sugar Blend</t>
    </r>
    <r>
      <rPr>
        <sz val="10"/>
        <rFont val="Arial Narrow"/>
        <family val="2"/>
      </rPr>
      <t xml:space="preserve"> includes LAU23 and LAU52 Maple Sugar + LAU81 Honey Brown.</t>
    </r>
  </si>
  <si>
    <t>Laurier - 4 Unit (15:40:30:15 Bond)</t>
  </si>
  <si>
    <r>
      <rPr>
        <b/>
        <sz val="10"/>
        <rFont val="Arial Narrow"/>
        <family val="2"/>
      </rPr>
      <t xml:space="preserve">Note: </t>
    </r>
    <r>
      <rPr>
        <i/>
        <sz val="10"/>
        <rFont val="Arial Narrow"/>
        <family val="2"/>
      </rPr>
      <t xml:space="preserve">Honey Brown/Maple Sugar Blend </t>
    </r>
    <r>
      <rPr>
        <sz val="10"/>
        <rFont val="Arial Narrow"/>
        <family val="2"/>
      </rPr>
      <t>includes LAU23 and LAU52 Maple Sugar + LAU81 Honey Brown.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</si>
  <si>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- 2 Unit (60:40 Bond)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</si>
  <si>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23-5/8" length and may be comprised of 2 or more individual stones.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</si>
  <si>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(20:50:30 Bond)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</si>
  <si>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w/ EDG102 (20:40:30:10 Bond)</t>
    </r>
  </si>
  <si>
    <t>Urban Ledgestone - 3 Unit Ashlar (20:50:30 Bond)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</si>
  <si>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30-3/8" length and may be comprised of 2 or more individual stones.</t>
    </r>
  </si>
  <si>
    <t>Thin-Clad ARRIS-stack Units (30:55:15 Bond)</t>
  </si>
  <si>
    <t>square feet of ARRIS-stack flats.</t>
  </si>
  <si>
    <t>lineal feet of ARRIS-stack corners.</t>
  </si>
  <si>
    <t>Thin-Clad ARRIS-stack Units</t>
  </si>
  <si>
    <t>*Updated April 25, 2018</t>
  </si>
  <si>
    <t>square feet of Thin-Clad Laurier flats.</t>
  </si>
  <si>
    <t>lineal feet of Thin-Clad Laurier corners.</t>
  </si>
  <si>
    <t>Total (wall - corners) (sqft):</t>
  </si>
  <si>
    <t>Laurier - 4 Unit (10:40:30:20 Bond)</t>
  </si>
  <si>
    <t>Thin-Clad Laurier - 4 Unit (10:40:30:20 Bond)</t>
  </si>
  <si>
    <t>HEIGHT IN.</t>
  </si>
  <si>
    <t>SHA75S</t>
  </si>
  <si>
    <t>Thin-Clad Shadow Stone® - 3 Unit (20:50:30 Bond)</t>
  </si>
  <si>
    <t>Thin-Clad Citadel® - 4 Unit (20:20:40:20 Bond)</t>
  </si>
  <si>
    <t>Thin-Clad Urban Ledgestone - 3 Unit (20:30:50 Bond)</t>
  </si>
  <si>
    <t>Thin-Clad Fresco - 3 Unit (25:50:25 Bond)</t>
  </si>
  <si>
    <t>THIN_LR4</t>
  </si>
  <si>
    <t>THIN_SH3</t>
  </si>
  <si>
    <t>THIN_CD4</t>
  </si>
  <si>
    <t>THIN_UL3c</t>
  </si>
  <si>
    <t>THIN_FR3</t>
  </si>
  <si>
    <t>THIN_ER2</t>
  </si>
  <si>
    <t>Thin-Clad Laurier - 4 Unit</t>
  </si>
  <si>
    <t>Thin-Clad Shadowstone - 3 Unit</t>
  </si>
  <si>
    <t>Thin-Clad Citadel - 4 Unit</t>
  </si>
  <si>
    <t>Thin-Clad Urban Ledgestone -Coursed Bond</t>
  </si>
  <si>
    <t xml:space="preserve">Thin-Clad Fresco </t>
  </si>
  <si>
    <t>Thin-Clad Edge Rock</t>
  </si>
  <si>
    <t>Thin-Clad Building Stone (Cambridge, ON)</t>
  </si>
  <si>
    <t xml:space="preserve"> +/- 5 SQ.FT</t>
  </si>
  <si>
    <t>Thin-Clad Edge Rock - 2 Unit (75:25 Bond)</t>
  </si>
  <si>
    <t>*Updated January 24th,C87 2019</t>
  </si>
  <si>
    <t>/jv</t>
  </si>
  <si>
    <t>Georgian Blend - 3 Unit</t>
  </si>
  <si>
    <t xml:space="preserve"> Adair® Limestone</t>
  </si>
  <si>
    <t>AP35</t>
  </si>
  <si>
    <t>AP75</t>
  </si>
  <si>
    <t>AP115</t>
  </si>
  <si>
    <t>AP3a</t>
  </si>
  <si>
    <t>AP3c</t>
  </si>
  <si>
    <t>AST3a</t>
  </si>
  <si>
    <t>AST3c</t>
  </si>
  <si>
    <t>Parliament - 3 Unit - Ashlar</t>
  </si>
  <si>
    <t>Parliament - 3 Unit - Coursed</t>
  </si>
  <si>
    <t>Studio - 3 Unit - Ashlar</t>
  </si>
  <si>
    <t>Studio - 3 Unit - Coursed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</si>
  <si>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35-5/8" length and may be comprised of 2 or more individual stones.</t>
    </r>
  </si>
  <si>
    <t>Parliament - 3 Unit Coursed (20:30:50 Bond)</t>
  </si>
  <si>
    <t>*Updated March 29, 2019</t>
  </si>
  <si>
    <t>GB3</t>
  </si>
  <si>
    <t>MET3a</t>
  </si>
  <si>
    <t>MET3c</t>
  </si>
  <si>
    <t>Metropolitan - Ashlar</t>
  </si>
  <si>
    <t>Metropolitan - Coursed</t>
  </si>
  <si>
    <t>MET20</t>
  </si>
  <si>
    <t>MET42</t>
  </si>
  <si>
    <t>MET64</t>
  </si>
  <si>
    <t>Metropolitan - 3 Unit Ashlar (22:45:33 Bond)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</si>
  <si>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31-5/8" length and may be comprised of 2 or more individual stones.</t>
    </r>
  </si>
  <si>
    <t>Urban Ledgestone - 3 Unit Coursed (22:33:45 Bond)</t>
  </si>
  <si>
    <t>AST22</t>
  </si>
  <si>
    <t>AST50</t>
  </si>
  <si>
    <t>AST75</t>
  </si>
  <si>
    <t>Studio - 3 Unit Coursed (17:33:50 Bond)</t>
  </si>
  <si>
    <t>Metropolitan - 3 Unit Coursed (17:33:50 Bond)</t>
  </si>
  <si>
    <t>L.FT REQ'D</t>
  </si>
  <si>
    <t>PCS REQ'D (L.FT)</t>
  </si>
  <si>
    <t>*Updated April 8, 2019</t>
  </si>
  <si>
    <t>square feet of Metropolitan Building Stone.</t>
  </si>
  <si>
    <r>
      <t>square feet of Georgian Blend Adair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Limestone.</t>
    </r>
  </si>
  <si>
    <r>
      <t>square feet of Parliament Adair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Limestone.</t>
    </r>
  </si>
  <si>
    <r>
      <t>square feet of Studio Adair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Limestone.</t>
    </r>
  </si>
  <si>
    <t>Enter total ext vertical corners (L.ft):</t>
  </si>
  <si>
    <t>HEIGHT FT</t>
  </si>
  <si>
    <r>
      <rPr>
        <b/>
        <sz val="9"/>
        <rFont val="Arial Narrow"/>
        <family val="2"/>
      </rPr>
      <t>NOTE:</t>
    </r>
    <r>
      <rPr>
        <sz val="9"/>
        <rFont val="Arial Narrow"/>
        <family val="2"/>
      </rPr>
      <t xml:space="preserve"> Pieces per box are calculated based on 5 SQ.FT boxes.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</si>
  <si>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Pieces per box are calculated based on 5 SQ.FT boxes.</t>
    </r>
  </si>
  <si>
    <t>*Updated April 24, 2019</t>
  </si>
  <si>
    <t>L.FT / SKID</t>
  </si>
  <si>
    <t>ALSB24</t>
  </si>
  <si>
    <t>Architectural Linear Series</t>
  </si>
  <si>
    <t>Architectural Linear Series Brick</t>
  </si>
  <si>
    <t>square feet of Architectural Linear Series Brick</t>
  </si>
  <si>
    <t>*Updated September 13, 2019</t>
  </si>
  <si>
    <t>*Updated December 24, 2019</t>
  </si>
  <si>
    <t>SH5</t>
  </si>
  <si>
    <t>Shadow Stone® - 5 Unit (w/ EDG102 and UL35)</t>
  </si>
  <si>
    <t>*Updated March 5, 2020</t>
  </si>
  <si>
    <t>SHA/UL22</t>
  </si>
  <si>
    <t>SHA/UL50</t>
  </si>
  <si>
    <t>SHAUL50</t>
  </si>
  <si>
    <t>Parliament - 3 Unit Ashlar (20:50:30 Bond)</t>
  </si>
  <si>
    <t>Studio - 3 Unit Ashlar (20:50:30 Bond)</t>
  </si>
  <si>
    <t>CIT/FRE23</t>
  </si>
  <si>
    <t>2020 Small Quantity Building Stone Calculator</t>
  </si>
  <si>
    <r>
      <t>Shadow Stone</t>
    </r>
    <r>
      <rPr>
        <b/>
        <vertAlign val="superscript"/>
        <sz val="14"/>
        <color theme="0"/>
        <rFont val="Arial"/>
        <family val="2"/>
      </rPr>
      <t>®</t>
    </r>
    <r>
      <rPr>
        <b/>
        <sz val="14"/>
        <color theme="0"/>
        <rFont val="Arial"/>
        <family val="2"/>
      </rPr>
      <t xml:space="preserve"> - 5 Unit w/ EDG102 and UL35 (10:20:40:20:10 Bond)</t>
    </r>
  </si>
  <si>
    <t>ER2_ALT</t>
  </si>
  <si>
    <t>Edge Rock (w/ SHA/UL50)</t>
  </si>
  <si>
    <r>
      <t xml:space="preserve">Use "ER2_ALT" when ordering colors </t>
    </r>
    <r>
      <rPr>
        <b/>
        <sz val="9"/>
        <rFont val="Arial Narrow"/>
        <family val="2"/>
      </rPr>
      <t>Steel Grey</t>
    </r>
    <r>
      <rPr>
        <sz val="9"/>
        <rFont val="Arial Narrow"/>
        <family val="2"/>
      </rPr>
      <t xml:space="preserve"> or </t>
    </r>
    <r>
      <rPr>
        <b/>
        <sz val="9"/>
        <rFont val="Arial Narrow"/>
        <family val="2"/>
      </rPr>
      <t>Collingwood</t>
    </r>
  </si>
  <si>
    <t>Edge Rock - 2 Unit w/ SHA/UL50 (75:25 Bond)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</si>
  <si>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23-5/8"  length (EDG102) or 31-5/8" length (SHA/UL50)  and may be comprised of 2 or more individual stones.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</si>
  <si>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23-5/8" length for SHA/UL22 and 31-5/8" for SHA/UL50 and may be comprised of 2 or more individual stones.</t>
    </r>
  </si>
  <si>
    <r>
      <t>*</t>
    </r>
    <r>
      <rPr>
        <i/>
        <sz val="8"/>
        <rFont val="Arial Narrow"/>
        <family val="2"/>
      </rPr>
      <t>SHA/UL50</t>
    </r>
    <r>
      <rPr>
        <sz val="8"/>
        <rFont val="Arial Narrow"/>
        <family val="2"/>
      </rPr>
      <t xml:space="preserve"> PCS are based on a 31-5/8" length.</t>
    </r>
  </si>
  <si>
    <r>
      <rPr>
        <i/>
        <sz val="8"/>
        <rFont val="Arial Narrow"/>
        <family val="2"/>
      </rPr>
      <t>*SHA/UL50</t>
    </r>
    <r>
      <rPr>
        <sz val="8"/>
        <rFont val="Arial Narrow"/>
        <family val="2"/>
      </rPr>
      <t xml:space="preserve"> PCS are based on a 31-5/8" length.</t>
    </r>
  </si>
  <si>
    <t>GB2</t>
  </si>
  <si>
    <t>GB4</t>
  </si>
  <si>
    <t>GB4_START</t>
  </si>
  <si>
    <t>GB5</t>
  </si>
  <si>
    <t>Georgian Blend - 2 Unit</t>
  </si>
  <si>
    <t>Georgian Blend - 4 Unit (w/ AGB22, AGB50, AGB75 and AGB103</t>
  </si>
  <si>
    <t>Georgian Blend - 4 Unit (w/ AGB22, START, AGB50 and AGB75)</t>
  </si>
  <si>
    <t>Georgian Blend - 5 Unit</t>
  </si>
  <si>
    <t>*Updated Marc 15, 2021</t>
  </si>
  <si>
    <t>Georgian Blend - 2 Unit (75:25 Bond)</t>
  </si>
  <si>
    <t>AGB22</t>
  </si>
  <si>
    <t>AGB50</t>
  </si>
  <si>
    <t>AGB103</t>
  </si>
  <si>
    <t>Georgian Blend - 3 Unit Ashlar (20:40:40 Bond)</t>
  </si>
  <si>
    <t>AGB75</t>
  </si>
  <si>
    <t>Georgian Blend - 4 Unit (15:40:30:15 Bond)</t>
  </si>
  <si>
    <t>Georgian Blend - 4 Unit (20:20:40:20 Bond)</t>
  </si>
  <si>
    <t>START</t>
  </si>
  <si>
    <t>Georgian Blend - 5 Unit (10:20:40:20:10 Bond)</t>
  </si>
  <si>
    <t>Shadow Stone® - 4 Unit (w/ UL35)</t>
  </si>
  <si>
    <t>SHA4b</t>
  </si>
  <si>
    <r>
      <t>*</t>
    </r>
    <r>
      <rPr>
        <i/>
        <sz val="8"/>
        <rFont val="Arial Narrow"/>
        <family val="2"/>
      </rPr>
      <t>SHA/UL50</t>
    </r>
    <r>
      <rPr>
        <sz val="8"/>
        <rFont val="Arial Narrow"/>
        <family val="2"/>
      </rPr>
      <t xml:space="preserve"> and UL35 PCS are based on a 31-5/8" length.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</si>
  <si>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w/ UL35 (20:20:40:20 Bond)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</si>
</sst>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"/>
    <numFmt numFmtId="166" formatCode="0.0000"/>
  </numFmts>
  <fonts count="5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7"/>
      <name val="Arial"/>
      <family val="2"/>
    </font>
    <font>
      <b/>
      <sz val="10"/>
      <color indexed="18"/>
      <name val="Lucida Bright"/>
      <family val="1"/>
    </font>
    <font>
      <b/>
      <sz val="8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sz val="14"/>
      <color indexed="10"/>
      <name val="Arial"/>
      <family val="2"/>
    </font>
    <font>
      <sz val="7"/>
      <color indexed="53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0000FF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vertAlign val="superscript"/>
      <sz val="10"/>
      <color theme="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18"/>
      <color rgb="FFC00000"/>
      <name val="Arial"/>
      <family val="2"/>
    </font>
    <font>
      <b/>
      <sz val="14"/>
      <color indexed="9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i/>
      <vertAlign val="superscript"/>
      <sz val="10"/>
      <name val="Arial"/>
      <family val="2"/>
    </font>
    <font>
      <b/>
      <sz val="16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4"/>
      <color rgb="FFFF0000"/>
      <name val="Arial"/>
      <family val="2"/>
    </font>
    <font>
      <b/>
      <sz val="14"/>
      <color rgb="FF0000FF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b/>
      <vertAlign val="superscript"/>
      <sz val="14"/>
      <color theme="0"/>
      <name val="Arial"/>
      <family val="2"/>
    </font>
    <font>
      <b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</fills>
  <borders count="107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18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double">
        <color indexed="18"/>
      </bottom>
      <diagonal/>
    </border>
    <border>
      <left/>
      <right style="thin">
        <color indexed="18"/>
      </right>
      <top/>
      <bottom style="double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double">
        <color indexed="64"/>
      </right>
      <top/>
      <bottom/>
      <diagonal/>
    </border>
    <border>
      <left style="thin">
        <color indexed="18"/>
      </left>
      <right style="double">
        <color indexed="64"/>
      </right>
      <top style="double">
        <color indexed="64"/>
      </top>
      <bottom/>
      <diagonal/>
    </border>
    <border>
      <left style="thin">
        <color indexed="18"/>
      </left>
      <right style="double">
        <color indexed="64"/>
      </right>
      <top style="thin">
        <color indexed="18"/>
      </top>
      <bottom style="double">
        <color indexed="64"/>
      </bottom>
      <diagonal/>
    </border>
    <border>
      <left/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double">
        <color indexed="64"/>
      </top>
      <bottom/>
      <diagonal/>
    </border>
    <border>
      <left style="thin">
        <color indexed="18"/>
      </left>
      <right style="thin">
        <color indexed="18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1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1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18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18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8"/>
      </right>
      <top style="medium">
        <color indexed="64"/>
      </top>
      <bottom/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70">
    <xf numFmtId="0" fontId="0" fillId="0" borderId="0" xfId="0"/>
    <xf numFmtId="0" fontId="6" fillId="0" borderId="0" xfId="0" applyFont="1" applyProtection="1"/>
    <xf numFmtId="0" fontId="4" fillId="0" borderId="0" xfId="0" applyFont="1" applyBorder="1" applyProtection="1"/>
    <xf numFmtId="0" fontId="4" fillId="0" borderId="0" xfId="0" applyFont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0" fillId="0" borderId="8" xfId="0" applyBorder="1" applyProtection="1"/>
    <xf numFmtId="0" fontId="14" fillId="0" borderId="0" xfId="0" applyFont="1" applyProtection="1"/>
    <xf numFmtId="0" fontId="20" fillId="0" borderId="0" xfId="0" applyFont="1" applyFill="1" applyBorder="1" applyProtection="1"/>
    <xf numFmtId="9" fontId="18" fillId="0" borderId="0" xfId="0" applyNumberFormat="1" applyFont="1" applyBorder="1" applyAlignment="1" applyProtection="1">
      <alignment horizontal="left"/>
    </xf>
    <xf numFmtId="0" fontId="0" fillId="0" borderId="0" xfId="0" applyFill="1" applyProtection="1"/>
    <xf numFmtId="0" fontId="7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right"/>
    </xf>
    <xf numFmtId="1" fontId="17" fillId="0" borderId="0" xfId="0" applyNumberFormat="1" applyFont="1" applyFill="1" applyBorder="1" applyProtection="1"/>
    <xf numFmtId="0" fontId="0" fillId="2" borderId="0" xfId="0" applyFill="1" applyProtection="1"/>
    <xf numFmtId="0" fontId="13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15" fillId="0" borderId="0" xfId="0" applyFont="1" applyFill="1" applyBorder="1" applyProtection="1"/>
    <xf numFmtId="0" fontId="0" fillId="0" borderId="0" xfId="0" applyBorder="1" applyProtection="1"/>
    <xf numFmtId="0" fontId="0" fillId="0" borderId="0" xfId="0" applyProtection="1"/>
    <xf numFmtId="0" fontId="1" fillId="0" borderId="0" xfId="0" applyFont="1" applyBorder="1" applyAlignment="1" applyProtection="1">
      <alignment horizontal="right"/>
    </xf>
    <xf numFmtId="3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164" fontId="10" fillId="0" borderId="0" xfId="2" applyNumberFormat="1" applyFont="1" applyBorder="1" applyAlignment="1" applyProtection="1">
      <alignment horizontal="center"/>
    </xf>
    <xf numFmtId="0" fontId="0" fillId="6" borderId="0" xfId="0" applyFill="1" applyProtection="1"/>
    <xf numFmtId="0" fontId="5" fillId="6" borderId="0" xfId="0" applyFont="1" applyFill="1" applyBorder="1" applyProtection="1"/>
    <xf numFmtId="2" fontId="0" fillId="0" borderId="0" xfId="0" applyNumberForma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/>
    </xf>
    <xf numFmtId="0" fontId="32" fillId="7" borderId="0" xfId="0" applyFont="1" applyFill="1" applyBorder="1" applyProtection="1"/>
    <xf numFmtId="0" fontId="0" fillId="5" borderId="0" xfId="0" applyFill="1" applyProtection="1"/>
    <xf numFmtId="0" fontId="5" fillId="5" borderId="0" xfId="0" applyFont="1" applyFill="1" applyBorder="1" applyProtection="1"/>
    <xf numFmtId="3" fontId="8" fillId="5" borderId="0" xfId="0" applyNumberFormat="1" applyFont="1" applyFill="1" applyBorder="1" applyProtection="1">
      <protection locked="0"/>
    </xf>
    <xf numFmtId="1" fontId="8" fillId="5" borderId="0" xfId="0" applyNumberFormat="1" applyFont="1" applyFill="1" applyBorder="1" applyProtection="1">
      <protection locked="0"/>
    </xf>
    <xf numFmtId="0" fontId="0" fillId="5" borderId="0" xfId="0" applyFill="1" applyBorder="1" applyProtection="1"/>
    <xf numFmtId="0" fontId="15" fillId="5" borderId="0" xfId="0" applyFont="1" applyFill="1" applyBorder="1" applyProtection="1"/>
    <xf numFmtId="0" fontId="11" fillId="5" borderId="0" xfId="0" applyFont="1" applyFill="1" applyBorder="1" applyProtection="1"/>
    <xf numFmtId="0" fontId="0" fillId="10" borderId="0" xfId="0" applyFill="1" applyProtection="1"/>
    <xf numFmtId="0" fontId="5" fillId="10" borderId="0" xfId="0" applyFont="1" applyFill="1" applyBorder="1" applyProtection="1"/>
    <xf numFmtId="0" fontId="32" fillId="8" borderId="0" xfId="0" applyFont="1" applyFill="1" applyBorder="1" applyProtection="1"/>
    <xf numFmtId="0" fontId="35" fillId="8" borderId="0" xfId="0" applyFont="1" applyFill="1" applyBorder="1" applyProtection="1"/>
    <xf numFmtId="0" fontId="32" fillId="8" borderId="0" xfId="0" applyFont="1" applyFill="1" applyProtection="1"/>
    <xf numFmtId="0" fontId="11" fillId="0" borderId="45" xfId="0" applyFont="1" applyBorder="1" applyAlignment="1" applyProtection="1">
      <alignment horizontal="right" vertical="center"/>
    </xf>
    <xf numFmtId="0" fontId="5" fillId="0" borderId="44" xfId="0" applyFont="1" applyBorder="1" applyAlignment="1" applyProtection="1">
      <alignment horizontal="right" vertical="center"/>
    </xf>
    <xf numFmtId="0" fontId="10" fillId="0" borderId="3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10" fillId="0" borderId="6" xfId="0" applyFont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9" fontId="19" fillId="0" borderId="48" xfId="0" applyNumberFormat="1" applyFont="1" applyBorder="1" applyAlignment="1" applyProtection="1">
      <alignment horizontal="center" vertical="center"/>
      <protection locked="0"/>
    </xf>
    <xf numFmtId="9" fontId="19" fillId="0" borderId="49" xfId="0" applyNumberFormat="1" applyFont="1" applyBorder="1" applyAlignment="1" applyProtection="1">
      <alignment horizontal="center" vertical="center"/>
      <protection locked="0"/>
    </xf>
    <xf numFmtId="3" fontId="1" fillId="0" borderId="50" xfId="0" applyNumberFormat="1" applyFont="1" applyBorder="1" applyAlignment="1" applyProtection="1">
      <alignment horizontal="center" vertical="center"/>
    </xf>
    <xf numFmtId="3" fontId="1" fillId="0" borderId="51" xfId="0" applyNumberFormat="1" applyFont="1" applyBorder="1" applyAlignment="1" applyProtection="1">
      <alignment horizontal="center" vertical="center"/>
    </xf>
    <xf numFmtId="0" fontId="10" fillId="0" borderId="5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3" fontId="9" fillId="0" borderId="52" xfId="0" applyNumberFormat="1" applyFont="1" applyBorder="1" applyAlignment="1" applyProtection="1">
      <alignment horizontal="center" vertical="center"/>
    </xf>
    <xf numFmtId="3" fontId="9" fillId="0" borderId="53" xfId="0" applyNumberFormat="1" applyFont="1" applyBorder="1" applyAlignment="1" applyProtection="1">
      <alignment horizontal="center" vertical="center"/>
    </xf>
    <xf numFmtId="3" fontId="9" fillId="5" borderId="54" xfId="0" applyNumberFormat="1" applyFont="1" applyFill="1" applyBorder="1" applyAlignment="1" applyProtection="1">
      <alignment horizontal="center" vertical="center"/>
    </xf>
    <xf numFmtId="3" fontId="9" fillId="5" borderId="55" xfId="0" applyNumberFormat="1" applyFont="1" applyFill="1" applyBorder="1" applyAlignment="1" applyProtection="1">
      <alignment horizontal="center" vertical="center"/>
    </xf>
    <xf numFmtId="0" fontId="32" fillId="7" borderId="0" xfId="0" applyFont="1" applyFill="1" applyBorder="1" applyAlignment="1" applyProtection="1">
      <alignment horizontal="right" vertical="center"/>
    </xf>
    <xf numFmtId="0" fontId="15" fillId="5" borderId="0" xfId="0" applyFont="1" applyFill="1" applyBorder="1" applyAlignment="1" applyProtection="1">
      <alignment horizontal="right" vertical="center"/>
    </xf>
    <xf numFmtId="3" fontId="12" fillId="5" borderId="0" xfId="0" applyNumberFormat="1" applyFont="1" applyFill="1" applyBorder="1" applyAlignment="1" applyProtection="1">
      <alignment horizontal="center" vertical="center"/>
    </xf>
    <xf numFmtId="0" fontId="32" fillId="7" borderId="0" xfId="0" applyFont="1" applyFill="1" applyBorder="1" applyAlignment="1" applyProtection="1">
      <alignment vertical="center"/>
    </xf>
    <xf numFmtId="0" fontId="32" fillId="7" borderId="0" xfId="0" applyFont="1" applyFill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horizontal="left" vertical="center"/>
    </xf>
    <xf numFmtId="9" fontId="18" fillId="0" borderId="0" xfId="0" applyNumberFormat="1" applyFont="1" applyBorder="1" applyAlignment="1" applyProtection="1">
      <alignment horizontal="left" vertical="center"/>
    </xf>
    <xf numFmtId="0" fontId="26" fillId="0" borderId="20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3" fontId="0" fillId="0" borderId="0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8" fillId="0" borderId="2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26" fillId="0" borderId="0" xfId="0" applyFont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9" fontId="19" fillId="0" borderId="1" xfId="0" applyNumberFormat="1" applyFont="1" applyBorder="1" applyAlignment="1" applyProtection="1">
      <alignment horizontal="center" vertical="center"/>
      <protection locked="0"/>
    </xf>
    <xf numFmtId="9" fontId="1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/>
    </xf>
    <xf numFmtId="0" fontId="11" fillId="5" borderId="0" xfId="0" applyFont="1" applyFill="1" applyBorder="1" applyAlignment="1" applyProtection="1">
      <alignment horizontal="right" vertical="center"/>
    </xf>
    <xf numFmtId="0" fontId="16" fillId="5" borderId="0" xfId="0" applyFont="1" applyFill="1" applyBorder="1" applyAlignment="1" applyProtection="1">
      <alignment horizontal="right" vertical="center"/>
    </xf>
    <xf numFmtId="3" fontId="8" fillId="5" borderId="0" xfId="0" applyNumberFormat="1" applyFont="1" applyFill="1" applyBorder="1" applyAlignment="1" applyProtection="1">
      <alignment vertical="center"/>
      <protection locked="0"/>
    </xf>
    <xf numFmtId="1" fontId="8" fillId="5" borderId="0" xfId="0" applyNumberFormat="1" applyFont="1" applyFill="1" applyBorder="1" applyAlignment="1" applyProtection="1">
      <alignment vertical="center"/>
      <protection locked="0"/>
    </xf>
    <xf numFmtId="3" fontId="8" fillId="5" borderId="0" xfId="0" applyNumberFormat="1" applyFont="1" applyFill="1" applyBorder="1" applyAlignment="1" applyProtection="1">
      <alignment horizontal="right" vertical="center"/>
      <protection locked="0"/>
    </xf>
    <xf numFmtId="1" fontId="8" fillId="5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/>
    </xf>
    <xf numFmtId="0" fontId="0" fillId="0" borderId="6" xfId="0" quotePrefix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/>
    </xf>
    <xf numFmtId="0" fontId="0" fillId="0" borderId="21" xfId="0" applyFill="1" applyBorder="1" applyAlignment="1" applyProtection="1">
      <protection locked="0"/>
    </xf>
    <xf numFmtId="3" fontId="0" fillId="0" borderId="25" xfId="0" applyNumberFormat="1" applyFill="1" applyBorder="1" applyAlignment="1" applyProtection="1">
      <protection locked="0"/>
    </xf>
    <xf numFmtId="0" fontId="0" fillId="0" borderId="25" xfId="0" applyFill="1" applyBorder="1" applyAlignment="1" applyProtection="1">
      <protection locked="0"/>
    </xf>
    <xf numFmtId="0" fontId="10" fillId="0" borderId="6" xfId="2" applyFont="1" applyBorder="1" applyAlignment="1" applyProtection="1">
      <alignment horizontal="right" vertical="center"/>
    </xf>
    <xf numFmtId="0" fontId="1" fillId="0" borderId="6" xfId="2" applyFont="1" applyBorder="1" applyAlignment="1" applyProtection="1">
      <alignment horizontal="right" vertical="center"/>
    </xf>
    <xf numFmtId="0" fontId="10" fillId="0" borderId="8" xfId="2" applyBorder="1" applyAlignment="1" applyProtection="1">
      <alignment horizontal="center" vertical="center"/>
    </xf>
    <xf numFmtId="0" fontId="10" fillId="0" borderId="37" xfId="2" applyBorder="1" applyAlignment="1" applyProtection="1">
      <alignment horizontal="center" vertical="center"/>
    </xf>
    <xf numFmtId="3" fontId="9" fillId="0" borderId="32" xfId="2" applyNumberFormat="1" applyFont="1" applyBorder="1" applyAlignment="1" applyProtection="1">
      <alignment horizontal="center" vertical="center"/>
    </xf>
    <xf numFmtId="3" fontId="9" fillId="0" borderId="39" xfId="2" applyNumberFormat="1" applyFont="1" applyBorder="1" applyAlignment="1" applyProtection="1">
      <alignment horizontal="center" vertical="center"/>
    </xf>
    <xf numFmtId="0" fontId="5" fillId="0" borderId="34" xfId="2" applyFont="1" applyBorder="1" applyAlignment="1" applyProtection="1">
      <alignment horizontal="right" vertical="center"/>
    </xf>
    <xf numFmtId="0" fontId="5" fillId="0" borderId="40" xfId="2" applyFont="1" applyFill="1" applyBorder="1" applyAlignment="1" applyProtection="1">
      <alignment horizontal="right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3" fontId="9" fillId="5" borderId="41" xfId="2" applyNumberFormat="1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9" fontId="19" fillId="0" borderId="31" xfId="0" applyNumberFormat="1" applyFont="1" applyBorder="1" applyAlignment="1" applyProtection="1">
      <alignment horizontal="center" vertical="center"/>
      <protection locked="0"/>
    </xf>
    <xf numFmtId="9" fontId="19" fillId="0" borderId="59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3" fontId="9" fillId="0" borderId="33" xfId="2" applyNumberFormat="1" applyFont="1" applyBorder="1" applyAlignment="1" applyProtection="1">
      <alignment horizontal="center" vertical="center"/>
    </xf>
    <xf numFmtId="3" fontId="9" fillId="5" borderId="47" xfId="2" applyNumberFormat="1" applyFont="1" applyFill="1" applyBorder="1" applyAlignment="1" applyProtection="1">
      <alignment horizontal="center" vertical="center"/>
    </xf>
    <xf numFmtId="0" fontId="11" fillId="10" borderId="0" xfId="0" applyFont="1" applyFill="1" applyBorder="1" applyAlignment="1" applyProtection="1">
      <alignment horizontal="right" vertical="center"/>
    </xf>
    <xf numFmtId="0" fontId="16" fillId="10" borderId="0" xfId="0" applyFont="1" applyFill="1" applyBorder="1" applyAlignment="1" applyProtection="1">
      <alignment horizontal="right" vertical="center"/>
    </xf>
    <xf numFmtId="0" fontId="16" fillId="6" borderId="0" xfId="0" applyFont="1" applyFill="1" applyBorder="1" applyAlignment="1" applyProtection="1">
      <alignment horizontal="right" vertical="center"/>
    </xf>
    <xf numFmtId="3" fontId="8" fillId="10" borderId="0" xfId="0" applyNumberFormat="1" applyFont="1" applyFill="1" applyBorder="1" applyAlignment="1" applyProtection="1">
      <alignment horizontal="right" vertical="center"/>
      <protection locked="0"/>
    </xf>
    <xf numFmtId="1" fontId="8" fillId="1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8" xfId="2" applyFont="1" applyBorder="1" applyAlignment="1" applyProtection="1">
      <alignment horizontal="center" vertical="center"/>
    </xf>
    <xf numFmtId="0" fontId="5" fillId="0" borderId="38" xfId="2" applyFont="1" applyBorder="1" applyAlignment="1" applyProtection="1">
      <alignment horizontal="right" vertical="center"/>
    </xf>
    <xf numFmtId="0" fontId="5" fillId="0" borderId="40" xfId="2" applyFont="1" applyBorder="1" applyAlignment="1" applyProtection="1">
      <alignment horizontal="right" vertical="center"/>
    </xf>
    <xf numFmtId="3" fontId="9" fillId="3" borderId="35" xfId="2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/>
    </xf>
    <xf numFmtId="0" fontId="10" fillId="0" borderId="6" xfId="0" quotePrefix="1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/>
    </xf>
    <xf numFmtId="9" fontId="19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9" fontId="19" fillId="0" borderId="7" xfId="0" applyNumberFormat="1" applyFont="1" applyBorder="1" applyAlignment="1" applyProtection="1">
      <alignment horizontal="center" vertical="center"/>
      <protection locked="0"/>
    </xf>
    <xf numFmtId="9" fontId="19" fillId="0" borderId="23" xfId="0" applyNumberFormat="1" applyFont="1" applyBorder="1" applyAlignment="1" applyProtection="1">
      <alignment horizontal="center" vertical="center"/>
      <protection locked="0"/>
    </xf>
    <xf numFmtId="9" fontId="19" fillId="0" borderId="24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 wrapText="1"/>
    </xf>
    <xf numFmtId="1" fontId="10" fillId="0" borderId="0" xfId="2" applyNumberFormat="1" applyFont="1" applyBorder="1" applyAlignment="1" applyProtection="1">
      <alignment horizontal="center" vertical="center"/>
    </xf>
    <xf numFmtId="3" fontId="8" fillId="0" borderId="0" xfId="0" applyNumberFormat="1" applyFont="1" applyFill="1" applyBorder="1" applyProtection="1"/>
    <xf numFmtId="1" fontId="8" fillId="0" borderId="0" xfId="0" applyNumberFormat="1" applyFont="1" applyFill="1" applyBorder="1" applyProtection="1"/>
    <xf numFmtId="0" fontId="23" fillId="0" borderId="0" xfId="0" applyFont="1" applyFill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22" fillId="0" borderId="0" xfId="0" applyFont="1" applyFill="1" applyBorder="1" applyAlignment="1" applyProtection="1">
      <alignment wrapText="1" shrinkToFit="1"/>
    </xf>
    <xf numFmtId="9" fontId="8" fillId="0" borderId="0" xfId="0" applyNumberFormat="1" applyFont="1" applyFill="1" applyBorder="1" applyProtection="1"/>
    <xf numFmtId="3" fontId="34" fillId="7" borderId="0" xfId="0" applyNumberFormat="1" applyFont="1" applyFill="1" applyBorder="1" applyAlignment="1" applyProtection="1">
      <alignment horizontal="center" vertical="center"/>
    </xf>
    <xf numFmtId="0" fontId="3" fillId="4" borderId="60" xfId="1" applyFill="1" applyBorder="1" applyAlignment="1" applyProtection="1">
      <alignment horizontal="right" vertical="center"/>
      <protection locked="0"/>
    </xf>
    <xf numFmtId="0" fontId="3" fillId="14" borderId="26" xfId="1" applyFill="1" applyBorder="1" applyAlignment="1" applyProtection="1">
      <alignment horizontal="right" vertical="center"/>
      <protection locked="0"/>
    </xf>
    <xf numFmtId="0" fontId="3" fillId="14" borderId="60" xfId="1" applyFill="1" applyBorder="1" applyAlignment="1" applyProtection="1">
      <alignment horizontal="right" vertical="center"/>
      <protection locked="0"/>
    </xf>
    <xf numFmtId="0" fontId="3" fillId="14" borderId="14" xfId="1" applyFill="1" applyBorder="1" applyAlignment="1" applyProtection="1">
      <alignment horizontal="right" vertical="center"/>
      <protection locked="0"/>
    </xf>
    <xf numFmtId="0" fontId="45" fillId="0" borderId="43" xfId="0" applyFont="1" applyBorder="1" applyAlignment="1" applyProtection="1">
      <alignment horizontal="center" vertical="center"/>
    </xf>
    <xf numFmtId="0" fontId="0" fillId="15" borderId="0" xfId="0" applyFill="1" applyAlignment="1" applyProtection="1">
      <alignment horizontal="right" vertical="center"/>
    </xf>
    <xf numFmtId="0" fontId="5" fillId="15" borderId="0" xfId="0" applyFont="1" applyFill="1" applyBorder="1" applyAlignment="1" applyProtection="1">
      <alignment horizontal="right" vertical="center"/>
    </xf>
    <xf numFmtId="0" fontId="38" fillId="15" borderId="0" xfId="0" applyFont="1" applyFill="1" applyBorder="1" applyAlignment="1" applyProtection="1">
      <alignment horizontal="right" vertical="center"/>
    </xf>
    <xf numFmtId="1" fontId="8" fillId="15" borderId="0" xfId="0" applyNumberFormat="1" applyFont="1" applyFill="1" applyBorder="1" applyAlignment="1" applyProtection="1">
      <alignment vertical="center"/>
      <protection locked="0"/>
    </xf>
    <xf numFmtId="0" fontId="5" fillId="2" borderId="69" xfId="0" applyFont="1" applyFill="1" applyBorder="1" applyAlignment="1" applyProtection="1">
      <alignment horizontal="center" vertical="center"/>
    </xf>
    <xf numFmtId="3" fontId="1" fillId="2" borderId="37" xfId="0" applyNumberFormat="1" applyFont="1" applyFill="1" applyBorder="1" applyAlignment="1" applyProtection="1">
      <alignment horizontal="center" vertical="center"/>
    </xf>
    <xf numFmtId="0" fontId="32" fillId="12" borderId="0" xfId="0" applyFont="1" applyFill="1" applyBorder="1" applyProtection="1"/>
    <xf numFmtId="0" fontId="32" fillId="12" borderId="0" xfId="0" applyFont="1" applyFill="1" applyBorder="1" applyAlignment="1" applyProtection="1">
      <alignment horizontal="right" vertical="center"/>
    </xf>
    <xf numFmtId="3" fontId="34" fillId="12" borderId="0" xfId="0" applyNumberFormat="1" applyFont="1" applyFill="1" applyBorder="1" applyAlignment="1" applyProtection="1">
      <alignment horizontal="center" vertical="center"/>
    </xf>
    <xf numFmtId="0" fontId="32" fillId="12" borderId="0" xfId="0" applyFont="1" applyFill="1" applyBorder="1" applyAlignment="1" applyProtection="1">
      <alignment horizontal="left" vertical="center"/>
    </xf>
    <xf numFmtId="0" fontId="32" fillId="12" borderId="0" xfId="0" applyFont="1" applyFill="1" applyProtection="1"/>
    <xf numFmtId="0" fontId="3" fillId="4" borderId="26" xfId="1" applyFill="1" applyBorder="1" applyAlignment="1" applyProtection="1">
      <alignment horizontal="right" vertical="center"/>
      <protection locked="0"/>
    </xf>
    <xf numFmtId="0" fontId="3" fillId="11" borderId="60" xfId="1" applyFill="1" applyBorder="1" applyAlignment="1" applyProtection="1">
      <alignment horizontal="right" vertical="center"/>
      <protection locked="0"/>
    </xf>
    <xf numFmtId="165" fontId="10" fillId="2" borderId="37" xfId="0" applyNumberFormat="1" applyFont="1" applyFill="1" applyBorder="1" applyAlignment="1" applyProtection="1">
      <alignment horizontal="center" vertical="center"/>
    </xf>
    <xf numFmtId="3" fontId="10" fillId="2" borderId="37" xfId="0" applyNumberFormat="1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vertical="center"/>
    </xf>
    <xf numFmtId="0" fontId="28" fillId="2" borderId="72" xfId="0" applyFont="1" applyFill="1" applyBorder="1" applyAlignment="1" applyProtection="1">
      <alignment horizontal="right" vertical="center"/>
    </xf>
    <xf numFmtId="2" fontId="10" fillId="2" borderId="50" xfId="0" applyNumberFormat="1" applyFont="1" applyFill="1" applyBorder="1" applyAlignment="1" applyProtection="1">
      <alignment horizontal="center" vertical="center" shrinkToFit="1"/>
    </xf>
    <xf numFmtId="0" fontId="10" fillId="2" borderId="73" xfId="0" applyFont="1" applyFill="1" applyBorder="1" applyAlignment="1" applyProtection="1">
      <alignment vertical="center"/>
    </xf>
    <xf numFmtId="0" fontId="10" fillId="2" borderId="74" xfId="0" applyFont="1" applyFill="1" applyBorder="1" applyAlignment="1" applyProtection="1">
      <alignment vertical="center"/>
    </xf>
    <xf numFmtId="0" fontId="10" fillId="2" borderId="75" xfId="0" applyFont="1" applyFill="1" applyBorder="1" applyAlignment="1" applyProtection="1">
      <alignment vertical="center" shrinkToFit="1"/>
    </xf>
    <xf numFmtId="0" fontId="3" fillId="2" borderId="60" xfId="1" applyFill="1" applyBorder="1" applyAlignment="1" applyProtection="1">
      <alignment horizontal="right" vertical="center"/>
      <protection locked="0"/>
    </xf>
    <xf numFmtId="1" fontId="10" fillId="2" borderId="50" xfId="0" applyNumberFormat="1" applyFont="1" applyFill="1" applyBorder="1" applyAlignment="1" applyProtection="1">
      <alignment horizontal="center" vertical="center" shrinkToFit="1"/>
    </xf>
    <xf numFmtId="0" fontId="3" fillId="11" borderId="14" xfId="1" applyFill="1" applyBorder="1" applyAlignment="1" applyProtection="1">
      <alignment horizontal="right" vertical="center"/>
      <protection locked="0"/>
    </xf>
    <xf numFmtId="0" fontId="3" fillId="9" borderId="60" xfId="1" applyFill="1" applyBorder="1" applyAlignment="1" applyProtection="1">
      <alignment horizontal="right" vertical="center"/>
      <protection locked="0"/>
    </xf>
    <xf numFmtId="0" fontId="10" fillId="2" borderId="20" xfId="0" applyFont="1" applyFill="1" applyBorder="1" applyAlignment="1" applyProtection="1">
      <alignment horizontal="right" vertical="center"/>
    </xf>
    <xf numFmtId="0" fontId="10" fillId="2" borderId="72" xfId="0" applyFont="1" applyFill="1" applyBorder="1" applyAlignment="1" applyProtection="1">
      <alignment horizontal="right" vertical="center"/>
    </xf>
    <xf numFmtId="3" fontId="50" fillId="6" borderId="0" xfId="0" applyNumberFormat="1" applyFont="1" applyFill="1" applyBorder="1" applyAlignment="1" applyProtection="1">
      <alignment horizontal="right" vertical="center"/>
      <protection locked="0"/>
    </xf>
    <xf numFmtId="12" fontId="50" fillId="1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1" applyFill="1" applyAlignment="1" applyProtection="1">
      <alignment horizontal="right" vertical="center"/>
      <protection locked="0"/>
    </xf>
    <xf numFmtId="0" fontId="0" fillId="0" borderId="13" xfId="0" applyBorder="1" applyProtection="1"/>
    <xf numFmtId="0" fontId="11" fillId="0" borderId="18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17" xfId="0" applyFont="1" applyBorder="1" applyAlignment="1" applyProtection="1">
      <alignment horizontal="right" vertical="center"/>
    </xf>
    <xf numFmtId="0" fontId="10" fillId="0" borderId="16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right" vertical="center"/>
    </xf>
    <xf numFmtId="3" fontId="1" fillId="0" borderId="8" xfId="0" applyNumberFormat="1" applyFont="1" applyBorder="1" applyAlignment="1" applyProtection="1">
      <alignment horizontal="center" vertical="center"/>
    </xf>
    <xf numFmtId="0" fontId="10" fillId="0" borderId="16" xfId="0" quotePrefix="1" applyFont="1" applyBorder="1" applyAlignment="1" applyProtection="1">
      <alignment horizontal="right" vertical="center"/>
    </xf>
    <xf numFmtId="0" fontId="28" fillId="0" borderId="0" xfId="0" applyFont="1" applyProtection="1"/>
    <xf numFmtId="3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0" fillId="0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right" vertical="center"/>
    </xf>
    <xf numFmtId="3" fontId="12" fillId="5" borderId="0" xfId="0" applyNumberFormat="1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 vertical="center"/>
    </xf>
    <xf numFmtId="0" fontId="15" fillId="5" borderId="0" xfId="0" applyFont="1" applyFill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32" fillId="8" borderId="0" xfId="0" applyFont="1" applyFill="1" applyAlignment="1" applyProtection="1">
      <alignment horizontal="right" vertical="center"/>
    </xf>
    <xf numFmtId="3" fontId="34" fillId="8" borderId="0" xfId="0" applyNumberFormat="1" applyFont="1" applyFill="1" applyBorder="1" applyAlignment="1" applyProtection="1">
      <alignment horizontal="center" vertical="center"/>
    </xf>
    <xf numFmtId="0" fontId="32" fillId="8" borderId="0" xfId="0" applyFont="1" applyFill="1" applyAlignment="1" applyProtection="1">
      <alignment horizontal="left" vertical="center"/>
    </xf>
    <xf numFmtId="2" fontId="0" fillId="0" borderId="0" xfId="0" applyNumberFormat="1" applyBorder="1" applyAlignment="1" applyProtection="1">
      <alignment horizontal="center" vertical="center"/>
    </xf>
    <xf numFmtId="0" fontId="32" fillId="8" borderId="0" xfId="0" applyFont="1" applyFill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2" fillId="8" borderId="0" xfId="0" applyFont="1" applyFill="1" applyBorder="1" applyAlignment="1" applyProtection="1">
      <alignment horizontal="right" vertical="center"/>
    </xf>
    <xf numFmtId="0" fontId="32" fillId="8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/>
    </xf>
    <xf numFmtId="0" fontId="0" fillId="0" borderId="0" xfId="0" applyFill="1" applyProtection="1">
      <protection locked="0"/>
    </xf>
    <xf numFmtId="0" fontId="5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3" fontId="1" fillId="0" borderId="20" xfId="0" applyNumberFormat="1" applyFont="1" applyBorder="1" applyAlignment="1" applyProtection="1">
      <alignment horizontal="center" vertical="center"/>
    </xf>
    <xf numFmtId="3" fontId="9" fillId="0" borderId="20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9" fontId="6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32" fillId="8" borderId="0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2" fontId="0" fillId="0" borderId="1" xfId="0" applyNumberFormat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right"/>
    </xf>
    <xf numFmtId="0" fontId="41" fillId="8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  <protection locked="0"/>
    </xf>
    <xf numFmtId="0" fontId="11" fillId="0" borderId="3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3" fillId="0" borderId="0" xfId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5" fillId="2" borderId="80" xfId="0" applyFont="1" applyFill="1" applyBorder="1" applyAlignment="1" applyProtection="1">
      <alignment horizontal="right" vertical="center"/>
    </xf>
    <xf numFmtId="0" fontId="5" fillId="2" borderId="81" xfId="0" applyFont="1" applyFill="1" applyBorder="1" applyAlignment="1" applyProtection="1">
      <alignment horizontal="center" vertical="center"/>
    </xf>
    <xf numFmtId="0" fontId="1" fillId="2" borderId="58" xfId="0" applyFont="1" applyFill="1" applyBorder="1" applyAlignment="1" applyProtection="1">
      <alignment horizontal="right" vertical="center"/>
    </xf>
    <xf numFmtId="1" fontId="1" fillId="2" borderId="50" xfId="0" applyNumberFormat="1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right" vertical="center"/>
    </xf>
    <xf numFmtId="12" fontId="10" fillId="2" borderId="50" xfId="0" applyNumberFormat="1" applyFont="1" applyFill="1" applyBorder="1" applyAlignment="1" applyProtection="1">
      <alignment horizontal="center" vertical="center"/>
    </xf>
    <xf numFmtId="0" fontId="28" fillId="2" borderId="36" xfId="0" applyFont="1" applyFill="1" applyBorder="1" applyAlignment="1" applyProtection="1">
      <alignment horizontal="right" vertical="center"/>
    </xf>
    <xf numFmtId="166" fontId="10" fillId="2" borderId="50" xfId="0" applyNumberFormat="1" applyFont="1" applyFill="1" applyBorder="1" applyAlignment="1" applyProtection="1">
      <alignment horizontal="center" vertical="center"/>
    </xf>
    <xf numFmtId="2" fontId="10" fillId="2" borderId="50" xfId="0" applyNumberFormat="1" applyFont="1" applyFill="1" applyBorder="1" applyAlignment="1" applyProtection="1">
      <alignment horizontal="center" vertical="center"/>
    </xf>
    <xf numFmtId="2" fontId="0" fillId="2" borderId="50" xfId="0" applyNumberForma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right" vertical="center"/>
    </xf>
    <xf numFmtId="3" fontId="9" fillId="2" borderId="61" xfId="0" applyNumberFormat="1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top"/>
    </xf>
    <xf numFmtId="3" fontId="10" fillId="0" borderId="0" xfId="0" applyNumberFormat="1" applyFont="1" applyBorder="1" applyAlignment="1" applyProtection="1">
      <alignment horizontal="right" vertical="center"/>
    </xf>
    <xf numFmtId="0" fontId="0" fillId="16" borderId="0" xfId="0" applyFill="1" applyBorder="1" applyProtection="1"/>
    <xf numFmtId="0" fontId="10" fillId="16" borderId="0" xfId="0" applyFont="1" applyFill="1" applyBorder="1" applyAlignment="1" applyProtection="1">
      <alignment horizontal="right" vertical="center"/>
    </xf>
    <xf numFmtId="3" fontId="12" fillId="16" borderId="0" xfId="0" applyNumberFormat="1" applyFont="1" applyFill="1" applyBorder="1" applyAlignment="1" applyProtection="1">
      <alignment horizontal="center"/>
    </xf>
    <xf numFmtId="0" fontId="10" fillId="16" borderId="0" xfId="0" applyFont="1" applyFill="1" applyBorder="1" applyAlignment="1" applyProtection="1">
      <alignment horizontal="left" vertical="center"/>
    </xf>
    <xf numFmtId="0" fontId="15" fillId="16" borderId="0" xfId="0" applyFont="1" applyFill="1" applyBorder="1" applyProtection="1"/>
    <xf numFmtId="0" fontId="0" fillId="16" borderId="0" xfId="0" applyFill="1" applyProtection="1"/>
    <xf numFmtId="0" fontId="15" fillId="10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Protection="1"/>
    <xf numFmtId="0" fontId="10" fillId="2" borderId="50" xfId="0" applyFont="1" applyFill="1" applyBorder="1" applyAlignment="1" applyProtection="1">
      <alignment horizontal="center" vertical="center"/>
    </xf>
    <xf numFmtId="0" fontId="0" fillId="2" borderId="50" xfId="0" applyFill="1" applyBorder="1" applyAlignment="1" applyProtection="1">
      <alignment horizontal="center" vertical="center"/>
    </xf>
    <xf numFmtId="1" fontId="10" fillId="2" borderId="50" xfId="0" applyNumberFormat="1" applyFont="1" applyFill="1" applyBorder="1" applyAlignment="1" applyProtection="1">
      <alignment horizontal="center" vertical="center"/>
    </xf>
    <xf numFmtId="1" fontId="0" fillId="2" borderId="50" xfId="0" applyNumberForma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</xf>
    <xf numFmtId="0" fontId="28" fillId="2" borderId="6" xfId="0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right" vertical="center"/>
    </xf>
    <xf numFmtId="9" fontId="0" fillId="0" borderId="0" xfId="0" applyNumberFormat="1" applyBorder="1" applyProtection="1"/>
    <xf numFmtId="0" fontId="24" fillId="15" borderId="0" xfId="0" applyFont="1" applyFill="1" applyBorder="1" applyAlignment="1" applyProtection="1">
      <alignment horizontal="right" vertical="center"/>
    </xf>
    <xf numFmtId="0" fontId="10" fillId="15" borderId="0" xfId="0" applyFont="1" applyFill="1" applyBorder="1" applyAlignment="1" applyProtection="1">
      <alignment horizontal="left" vertical="center"/>
    </xf>
    <xf numFmtId="0" fontId="24" fillId="15" borderId="0" xfId="0" applyFont="1" applyFill="1" applyBorder="1" applyAlignment="1" applyProtection="1">
      <alignment horizontal="right"/>
    </xf>
    <xf numFmtId="0" fontId="10" fillId="15" borderId="0" xfId="0" applyFont="1" applyFill="1" applyBorder="1" applyAlignment="1" applyProtection="1">
      <alignment horizontal="center"/>
    </xf>
    <xf numFmtId="3" fontId="30" fillId="10" borderId="0" xfId="0" applyNumberFormat="1" applyFont="1" applyFill="1" applyBorder="1" applyAlignment="1" applyProtection="1">
      <alignment vertical="center"/>
    </xf>
    <xf numFmtId="0" fontId="10" fillId="10" borderId="0" xfId="0" applyFont="1" applyFill="1" applyBorder="1" applyAlignment="1" applyProtection="1">
      <alignment horizontal="left" vertical="center"/>
    </xf>
    <xf numFmtId="3" fontId="30" fillId="10" borderId="0" xfId="0" applyNumberFormat="1" applyFont="1" applyFill="1" applyBorder="1" applyProtection="1"/>
    <xf numFmtId="0" fontId="10" fillId="10" borderId="0" xfId="0" applyFont="1" applyFill="1" applyBorder="1" applyAlignment="1" applyProtection="1">
      <alignment horizontal="center"/>
    </xf>
    <xf numFmtId="0" fontId="32" fillId="0" borderId="0" xfId="0" applyFont="1" applyProtection="1"/>
    <xf numFmtId="0" fontId="45" fillId="0" borderId="4" xfId="0" applyFont="1" applyBorder="1" applyAlignment="1" applyProtection="1">
      <alignment horizontal="center" vertical="center"/>
    </xf>
    <xf numFmtId="0" fontId="26" fillId="0" borderId="0" xfId="0" applyFont="1" applyProtection="1"/>
    <xf numFmtId="0" fontId="27" fillId="0" borderId="0" xfId="0" applyFont="1" applyProtection="1"/>
    <xf numFmtId="0" fontId="10" fillId="0" borderId="37" xfId="2" applyFont="1" applyBorder="1" applyAlignment="1" applyProtection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14" fillId="0" borderId="0" xfId="0" applyFont="1" applyFill="1" applyProtection="1"/>
    <xf numFmtId="0" fontId="21" fillId="0" borderId="0" xfId="0" applyFont="1" applyAlignment="1" applyProtection="1">
      <alignment horizontal="right"/>
    </xf>
    <xf numFmtId="0" fontId="11" fillId="0" borderId="26" xfId="0" applyFont="1" applyBorder="1" applyAlignment="1" applyProtection="1">
      <alignment horizontal="right" vertical="center"/>
    </xf>
    <xf numFmtId="0" fontId="0" fillId="7" borderId="29" xfId="0" applyFill="1" applyBorder="1" applyProtection="1"/>
    <xf numFmtId="0" fontId="44" fillId="14" borderId="27" xfId="0" applyFont="1" applyFill="1" applyBorder="1" applyAlignment="1" applyProtection="1">
      <alignment horizontal="left" vertical="center"/>
    </xf>
    <xf numFmtId="0" fontId="0" fillId="7" borderId="20" xfId="0" applyFill="1" applyBorder="1" applyProtection="1"/>
    <xf numFmtId="0" fontId="44" fillId="4" borderId="0" xfId="0" applyFont="1" applyFill="1" applyBorder="1" applyAlignment="1" applyProtection="1">
      <alignment horizontal="left" vertical="center"/>
    </xf>
    <xf numFmtId="0" fontId="44" fillId="14" borderId="0" xfId="0" applyFont="1" applyFill="1" applyBorder="1" applyAlignment="1" applyProtection="1">
      <alignment horizontal="left" vertical="center"/>
    </xf>
    <xf numFmtId="0" fontId="0" fillId="7" borderId="66" xfId="0" applyFill="1" applyBorder="1" applyProtection="1"/>
    <xf numFmtId="0" fontId="44" fillId="14" borderId="25" xfId="0" applyFont="1" applyFill="1" applyBorder="1" applyAlignment="1" applyProtection="1">
      <alignment horizontal="left" vertical="center"/>
    </xf>
    <xf numFmtId="0" fontId="0" fillId="12" borderId="26" xfId="0" applyFill="1" applyBorder="1" applyProtection="1"/>
    <xf numFmtId="0" fontId="44" fillId="4" borderId="26" xfId="0" applyFont="1" applyFill="1" applyBorder="1" applyAlignment="1" applyProtection="1">
      <alignment horizontal="left" vertical="center"/>
    </xf>
    <xf numFmtId="0" fontId="0" fillId="12" borderId="60" xfId="0" applyFill="1" applyBorder="1" applyProtection="1"/>
    <xf numFmtId="0" fontId="44" fillId="11" borderId="60" xfId="0" applyFont="1" applyFill="1" applyBorder="1" applyAlignment="1" applyProtection="1">
      <alignment horizontal="left" vertical="center"/>
    </xf>
    <xf numFmtId="0" fontId="44" fillId="2" borderId="60" xfId="0" applyFont="1" applyFill="1" applyBorder="1" applyAlignment="1" applyProtection="1">
      <alignment horizontal="left" vertical="center"/>
    </xf>
    <xf numFmtId="0" fontId="0" fillId="12" borderId="14" xfId="0" applyFill="1" applyBorder="1" applyProtection="1"/>
    <xf numFmtId="0" fontId="44" fillId="11" borderId="14" xfId="0" applyFont="1" applyFill="1" applyBorder="1" applyAlignment="1" applyProtection="1">
      <alignment horizontal="left" vertical="center"/>
    </xf>
    <xf numFmtId="0" fontId="10" fillId="8" borderId="60" xfId="0" applyFont="1" applyFill="1" applyBorder="1" applyProtection="1"/>
    <xf numFmtId="0" fontId="44" fillId="9" borderId="60" xfId="0" applyFont="1" applyFill="1" applyBorder="1" applyAlignment="1" applyProtection="1">
      <alignment horizontal="left" vertical="center"/>
    </xf>
    <xf numFmtId="0" fontId="44" fillId="2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3" fontId="17" fillId="5" borderId="22" xfId="0" applyNumberFormat="1" applyFont="1" applyFill="1" applyBorder="1" applyAlignment="1" applyProtection="1">
      <alignment vertical="center"/>
    </xf>
    <xf numFmtId="3" fontId="17" fillId="5" borderId="22" xfId="0" applyNumberFormat="1" applyFont="1" applyFill="1" applyBorder="1" applyAlignment="1" applyProtection="1">
      <alignment horizontal="right" vertical="center"/>
    </xf>
    <xf numFmtId="3" fontId="17" fillId="10" borderId="22" xfId="0" applyNumberFormat="1" applyFont="1" applyFill="1" applyBorder="1" applyAlignment="1" applyProtection="1">
      <alignment horizontal="right" vertical="center"/>
    </xf>
    <xf numFmtId="3" fontId="17" fillId="10" borderId="79" xfId="0" applyNumberFormat="1" applyFont="1" applyFill="1" applyBorder="1" applyAlignment="1" applyProtection="1">
      <alignment horizontal="right" vertical="center"/>
    </xf>
    <xf numFmtId="3" fontId="17" fillId="5" borderId="22" xfId="0" applyNumberFormat="1" applyFont="1" applyFill="1" applyBorder="1" applyProtection="1"/>
    <xf numFmtId="0" fontId="10" fillId="2" borderId="20" xfId="0" applyFont="1" applyFill="1" applyBorder="1" applyAlignment="1" applyProtection="1">
      <alignment horizontal="right" vertical="center"/>
    </xf>
    <xf numFmtId="0" fontId="10" fillId="2" borderId="72" xfId="0" applyFont="1" applyFill="1" applyBorder="1" applyAlignment="1" applyProtection="1">
      <alignment horizontal="right" vertical="center"/>
    </xf>
    <xf numFmtId="0" fontId="32" fillId="17" borderId="0" xfId="0" applyFont="1" applyFill="1" applyBorder="1" applyProtection="1"/>
    <xf numFmtId="0" fontId="32" fillId="17" borderId="0" xfId="0" applyFont="1" applyFill="1" applyBorder="1" applyAlignment="1" applyProtection="1">
      <alignment horizontal="right" vertical="center"/>
    </xf>
    <xf numFmtId="3" fontId="34" fillId="17" borderId="0" xfId="0" applyNumberFormat="1" applyFont="1" applyFill="1" applyBorder="1" applyAlignment="1" applyProtection="1">
      <alignment horizontal="center" vertical="center"/>
    </xf>
    <xf numFmtId="0" fontId="32" fillId="17" borderId="0" xfId="0" applyFont="1" applyFill="1" applyBorder="1" applyAlignment="1" applyProtection="1">
      <alignment horizontal="left" vertical="center"/>
    </xf>
    <xf numFmtId="0" fontId="0" fillId="18" borderId="0" xfId="0" applyFill="1" applyProtection="1"/>
    <xf numFmtId="0" fontId="5" fillId="18" borderId="0" xfId="0" applyFont="1" applyFill="1" applyBorder="1" applyProtection="1"/>
    <xf numFmtId="0" fontId="16" fillId="18" borderId="0" xfId="0" applyFont="1" applyFill="1" applyBorder="1" applyAlignment="1" applyProtection="1">
      <alignment horizontal="right" vertical="center"/>
    </xf>
    <xf numFmtId="3" fontId="50" fillId="18" borderId="0" xfId="0" applyNumberFormat="1" applyFont="1" applyFill="1" applyBorder="1" applyAlignment="1" applyProtection="1">
      <alignment horizontal="right" vertical="center"/>
      <protection locked="0"/>
    </xf>
    <xf numFmtId="0" fontId="0" fillId="18" borderId="0" xfId="0" applyFill="1" applyBorder="1" applyProtection="1"/>
    <xf numFmtId="0" fontId="10" fillId="18" borderId="0" xfId="0" applyFont="1" applyFill="1" applyBorder="1" applyAlignment="1" applyProtection="1">
      <alignment horizontal="right" vertical="center"/>
    </xf>
    <xf numFmtId="3" fontId="12" fillId="18" borderId="0" xfId="0" applyNumberFormat="1" applyFont="1" applyFill="1" applyBorder="1" applyAlignment="1" applyProtection="1">
      <alignment horizontal="center"/>
    </xf>
    <xf numFmtId="0" fontId="10" fillId="18" borderId="0" xfId="0" applyFont="1" applyFill="1" applyBorder="1" applyAlignment="1" applyProtection="1">
      <alignment horizontal="left" vertical="center"/>
    </xf>
    <xf numFmtId="0" fontId="15" fillId="18" borderId="0" xfId="0" applyFont="1" applyFill="1" applyBorder="1" applyProtection="1"/>
    <xf numFmtId="0" fontId="5" fillId="0" borderId="80" xfId="0" applyFont="1" applyBorder="1" applyAlignment="1" applyProtection="1">
      <alignment horizontal="right" vertical="center"/>
    </xf>
    <xf numFmtId="9" fontId="19" fillId="0" borderId="50" xfId="0" applyNumberFormat="1" applyFont="1" applyBorder="1" applyAlignment="1" applyProtection="1">
      <alignment horizontal="center" vertical="center"/>
      <protection locked="0"/>
    </xf>
    <xf numFmtId="9" fontId="19" fillId="0" borderId="6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20" xfId="0" applyFont="1" applyBorder="1" applyAlignment="1">
      <alignment horizontal="right" vertical="center"/>
    </xf>
    <xf numFmtId="3" fontId="5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3" fontId="5" fillId="0" borderId="80" xfId="0" applyNumberFormat="1" applyFont="1" applyBorder="1" applyAlignment="1" applyProtection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" fillId="0" borderId="0" xfId="0" applyFont="1" applyBorder="1" applyProtection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Protection="1"/>
    <xf numFmtId="0" fontId="10" fillId="0" borderId="0" xfId="0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/>
    <xf numFmtId="0" fontId="3" fillId="2" borderId="85" xfId="1" applyFill="1" applyBorder="1" applyAlignment="1" applyProtection="1">
      <alignment horizontal="right" vertical="center"/>
      <protection locked="0"/>
    </xf>
    <xf numFmtId="0" fontId="3" fillId="18" borderId="85" xfId="1" applyFill="1" applyBorder="1" applyAlignment="1" applyProtection="1">
      <alignment horizontal="right" vertical="center"/>
      <protection locked="0"/>
    </xf>
    <xf numFmtId="0" fontId="44" fillId="18" borderId="0" xfId="0" applyFont="1" applyFill="1" applyBorder="1" applyAlignment="1" applyProtection="1">
      <alignment horizontal="left" vertical="center"/>
    </xf>
    <xf numFmtId="0" fontId="3" fillId="2" borderId="85" xfId="1" quotePrefix="1" applyFill="1" applyBorder="1" applyAlignment="1" applyProtection="1">
      <alignment horizontal="right" vertical="center"/>
      <protection locked="0"/>
    </xf>
    <xf numFmtId="0" fontId="3" fillId="18" borderId="85" xfId="1" quotePrefix="1" applyFill="1" applyBorder="1" applyAlignment="1" applyProtection="1">
      <alignment horizontal="right" vertical="center"/>
      <protection locked="0"/>
    </xf>
    <xf numFmtId="0" fontId="37" fillId="0" borderId="0" xfId="0" applyFont="1" applyBorder="1" applyAlignment="1" applyProtection="1">
      <alignment horizontal="right" vertical="center" wrapText="1"/>
    </xf>
    <xf numFmtId="0" fontId="52" fillId="0" borderId="87" xfId="0" applyFont="1" applyBorder="1" applyAlignment="1" applyProtection="1">
      <alignment horizontal="right" vertical="center"/>
    </xf>
    <xf numFmtId="0" fontId="0" fillId="0" borderId="85" xfId="0" applyBorder="1" applyAlignment="1" applyProtection="1">
      <alignment horizontal="center" vertical="center"/>
    </xf>
    <xf numFmtId="0" fontId="10" fillId="0" borderId="87" xfId="0" applyFont="1" applyBorder="1" applyAlignment="1" applyProtection="1">
      <alignment horizontal="right" vertical="center"/>
    </xf>
    <xf numFmtId="3" fontId="1" fillId="0" borderId="79" xfId="0" applyNumberFormat="1" applyFont="1" applyBorder="1" applyAlignment="1" applyProtection="1">
      <alignment horizontal="center" vertical="center"/>
    </xf>
    <xf numFmtId="3" fontId="1" fillId="0" borderId="85" xfId="0" applyNumberFormat="1" applyFont="1" applyBorder="1" applyAlignment="1" applyProtection="1">
      <alignment horizontal="center" vertical="center"/>
    </xf>
    <xf numFmtId="3" fontId="1" fillId="0" borderId="95" xfId="0" applyNumberFormat="1" applyFont="1" applyBorder="1" applyAlignment="1" applyProtection="1">
      <alignment horizontal="center" vertical="center"/>
    </xf>
    <xf numFmtId="3" fontId="1" fillId="0" borderId="14" xfId="0" applyNumberFormat="1" applyFont="1" applyBorder="1" applyAlignment="1" applyProtection="1">
      <alignment horizontal="center" vertical="center"/>
    </xf>
    <xf numFmtId="0" fontId="3" fillId="0" borderId="85" xfId="1" quotePrefix="1" applyFill="1" applyBorder="1" applyAlignment="1" applyProtection="1">
      <alignment horizontal="right" vertical="center"/>
      <protection locked="0"/>
    </xf>
    <xf numFmtId="0" fontId="44" fillId="0" borderId="87" xfId="0" applyFont="1" applyFill="1" applyBorder="1" applyAlignment="1" applyProtection="1">
      <alignment horizontal="left" vertical="center"/>
    </xf>
    <xf numFmtId="0" fontId="44" fillId="19" borderId="25" xfId="0" applyFont="1" applyFill="1" applyBorder="1" applyAlignment="1" applyProtection="1">
      <alignment horizontal="left" vertical="center"/>
    </xf>
    <xf numFmtId="0" fontId="10" fillId="8" borderId="85" xfId="0" applyFont="1" applyFill="1" applyBorder="1" applyProtection="1"/>
    <xf numFmtId="0" fontId="10" fillId="0" borderId="86" xfId="2" applyFont="1" applyBorder="1" applyAlignment="1" applyProtection="1">
      <alignment horizontal="center" vertical="center"/>
    </xf>
    <xf numFmtId="0" fontId="10" fillId="0" borderId="92" xfId="2" applyFont="1" applyBorder="1" applyAlignment="1" applyProtection="1">
      <alignment horizontal="center" vertical="center"/>
    </xf>
    <xf numFmtId="0" fontId="10" fillId="0" borderId="94" xfId="2" applyFont="1" applyBorder="1" applyAlignment="1" applyProtection="1">
      <alignment horizontal="center" vertical="center"/>
    </xf>
    <xf numFmtId="0" fontId="11" fillId="0" borderId="40" xfId="2" applyFont="1" applyBorder="1" applyAlignment="1" applyProtection="1">
      <alignment horizontal="right" vertical="center"/>
    </xf>
    <xf numFmtId="0" fontId="52" fillId="0" borderId="16" xfId="0" quotePrefix="1" applyFont="1" applyBorder="1" applyAlignment="1" applyProtection="1">
      <alignment horizontal="right" vertical="center"/>
    </xf>
    <xf numFmtId="0" fontId="22" fillId="0" borderId="16" xfId="0" applyFont="1" applyBorder="1" applyAlignment="1" applyProtection="1">
      <alignment horizontal="right" vertical="center"/>
    </xf>
    <xf numFmtId="0" fontId="10" fillId="0" borderId="50" xfId="2" applyFont="1" applyBorder="1" applyAlignment="1" applyProtection="1">
      <alignment horizontal="center" vertical="center"/>
    </xf>
    <xf numFmtId="0" fontId="10" fillId="0" borderId="85" xfId="2" applyFont="1" applyBorder="1" applyAlignment="1" applyProtection="1">
      <alignment horizontal="center" vertical="center"/>
    </xf>
    <xf numFmtId="0" fontId="10" fillId="0" borderId="57" xfId="2" applyFont="1" applyBorder="1" applyAlignment="1" applyProtection="1">
      <alignment horizontal="center" vertical="center"/>
    </xf>
    <xf numFmtId="0" fontId="10" fillId="0" borderId="56" xfId="2" applyFont="1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10" fillId="0" borderId="98" xfId="2" applyFont="1" applyBorder="1" applyAlignment="1" applyProtection="1">
      <alignment horizontal="center" vertical="center"/>
    </xf>
    <xf numFmtId="0" fontId="10" fillId="20" borderId="0" xfId="0" applyFont="1" applyFill="1" applyProtection="1"/>
    <xf numFmtId="0" fontId="10" fillId="20" borderId="0" xfId="0" applyFont="1" applyFill="1" applyAlignment="1" applyProtection="1">
      <alignment horizontal="right" vertical="center"/>
    </xf>
    <xf numFmtId="3" fontId="11" fillId="20" borderId="0" xfId="0" applyNumberFormat="1" applyFont="1" applyFill="1" applyAlignment="1" applyProtection="1">
      <alignment horizontal="center" vertical="center"/>
    </xf>
    <xf numFmtId="0" fontId="10" fillId="20" borderId="0" xfId="0" applyFont="1" applyFill="1" applyAlignment="1" applyProtection="1">
      <alignment horizontal="left" vertical="center"/>
    </xf>
    <xf numFmtId="0" fontId="32" fillId="13" borderId="0" xfId="0" applyFont="1" applyFill="1" applyProtection="1"/>
    <xf numFmtId="0" fontId="32" fillId="13" borderId="0" xfId="0" applyFont="1" applyFill="1" applyAlignment="1" applyProtection="1">
      <alignment horizontal="right" vertical="center"/>
    </xf>
    <xf numFmtId="3" fontId="34" fillId="13" borderId="0" xfId="0" applyNumberFormat="1" applyFont="1" applyFill="1" applyBorder="1" applyAlignment="1" applyProtection="1">
      <alignment horizontal="center" vertical="center"/>
    </xf>
    <xf numFmtId="0" fontId="32" fillId="13" borderId="0" xfId="0" applyFont="1" applyFill="1" applyAlignment="1" applyProtection="1">
      <alignment horizontal="left" vertical="center"/>
    </xf>
    <xf numFmtId="0" fontId="3" fillId="21" borderId="85" xfId="1" quotePrefix="1" applyFill="1" applyBorder="1" applyAlignment="1" applyProtection="1">
      <alignment horizontal="right" vertical="center"/>
      <protection locked="0"/>
    </xf>
    <xf numFmtId="0" fontId="44" fillId="21" borderId="0" xfId="0" applyFont="1" applyFill="1" applyBorder="1" applyAlignment="1" applyProtection="1">
      <alignment horizontal="left" vertical="center"/>
    </xf>
    <xf numFmtId="0" fontId="3" fillId="21" borderId="25" xfId="1" quotePrefix="1" applyFill="1" applyBorder="1" applyAlignment="1" applyProtection="1">
      <alignment horizontal="right" vertical="center"/>
      <protection locked="0"/>
    </xf>
    <xf numFmtId="0" fontId="44" fillId="21" borderId="25" xfId="0" applyFont="1" applyFill="1" applyBorder="1" applyAlignment="1" applyProtection="1">
      <alignment horizontal="left" vertical="center"/>
    </xf>
    <xf numFmtId="0" fontId="3" fillId="0" borderId="85" xfId="1" applyFont="1" applyFill="1" applyBorder="1" applyAlignment="1" applyProtection="1">
      <alignment horizontal="right" vertical="center"/>
      <protection locked="0"/>
    </xf>
    <xf numFmtId="0" fontId="44" fillId="0" borderId="0" xfId="0" applyFont="1" applyFill="1" applyBorder="1" applyAlignment="1" applyProtection="1">
      <alignment horizontal="left" vertical="center"/>
    </xf>
    <xf numFmtId="0" fontId="3" fillId="19" borderId="14" xfId="1" applyFont="1" applyFill="1" applyBorder="1" applyAlignment="1" applyProtection="1">
      <alignment horizontal="right" vertical="center"/>
      <protection locked="0"/>
    </xf>
    <xf numFmtId="0" fontId="0" fillId="0" borderId="85" xfId="0" applyFill="1" applyBorder="1" applyAlignment="1">
      <alignment horizontal="center" vertical="center"/>
    </xf>
    <xf numFmtId="3" fontId="1" fillId="0" borderId="99" xfId="0" applyNumberFormat="1" applyFont="1" applyBorder="1" applyAlignment="1" applyProtection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55" fillId="5" borderId="54" xfId="0" applyFont="1" applyFill="1" applyBorder="1" applyAlignment="1" applyProtection="1">
      <alignment horizontal="center" vertical="center"/>
    </xf>
    <xf numFmtId="1" fontId="55" fillId="5" borderId="47" xfId="0" applyNumberFormat="1" applyFont="1" applyFill="1" applyBorder="1" applyAlignment="1" applyProtection="1">
      <alignment horizontal="center" vertical="center"/>
    </xf>
    <xf numFmtId="1" fontId="55" fillId="5" borderId="55" xfId="0" applyNumberFormat="1" applyFont="1" applyFill="1" applyBorder="1" applyAlignment="1" applyProtection="1">
      <alignment horizontal="center" vertical="center"/>
    </xf>
    <xf numFmtId="1" fontId="55" fillId="5" borderId="100" xfId="0" applyNumberFormat="1" applyFont="1" applyFill="1" applyBorder="1" applyAlignment="1" applyProtection="1">
      <alignment horizontal="center" vertical="center"/>
    </xf>
    <xf numFmtId="3" fontId="1" fillId="0" borderId="88" xfId="0" applyNumberFormat="1" applyFont="1" applyFill="1" applyBorder="1" applyAlignment="1" applyProtection="1">
      <alignment horizontal="center" vertical="center"/>
    </xf>
    <xf numFmtId="0" fontId="5" fillId="0" borderId="101" xfId="2" applyFont="1" applyBorder="1" applyAlignment="1" applyProtection="1">
      <alignment horizontal="right" vertical="center"/>
    </xf>
    <xf numFmtId="0" fontId="5" fillId="0" borderId="40" xfId="0" applyFont="1" applyFill="1" applyBorder="1" applyAlignment="1">
      <alignment horizontal="right" vertical="center"/>
    </xf>
    <xf numFmtId="1" fontId="56" fillId="5" borderId="100" xfId="0" applyNumberFormat="1" applyFont="1" applyFill="1" applyBorder="1" applyAlignment="1">
      <alignment horizontal="center" vertical="center"/>
    </xf>
    <xf numFmtId="1" fontId="56" fillId="5" borderId="55" xfId="0" applyNumberFormat="1" applyFont="1" applyFill="1" applyBorder="1" applyAlignment="1">
      <alignment horizontal="center" vertical="center"/>
    </xf>
    <xf numFmtId="0" fontId="37" fillId="0" borderId="0" xfId="0" applyFont="1" applyBorder="1" applyAlignment="1" applyProtection="1">
      <alignment horizontal="right" vertical="center" wrapText="1"/>
    </xf>
    <xf numFmtId="3" fontId="1" fillId="0" borderId="37" xfId="0" applyNumberFormat="1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right" vertical="center"/>
    </xf>
    <xf numFmtId="0" fontId="0" fillId="0" borderId="37" xfId="0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3" fontId="9" fillId="5" borderId="103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19" borderId="0" xfId="1" quotePrefix="1" applyFill="1" applyBorder="1" applyAlignment="1" applyProtection="1">
      <alignment horizontal="right" vertical="center"/>
      <protection locked="0"/>
    </xf>
    <xf numFmtId="0" fontId="44" fillId="19" borderId="0" xfId="0" applyFont="1" applyFill="1" applyBorder="1" applyAlignment="1" applyProtection="1">
      <alignment horizontal="left" vertical="center"/>
    </xf>
    <xf numFmtId="0" fontId="58" fillId="0" borderId="3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58" fillId="0" borderId="4" xfId="0" applyFont="1" applyBorder="1" applyAlignment="1" applyProtection="1">
      <alignment horizontal="center" vertical="center"/>
    </xf>
    <xf numFmtId="0" fontId="58" fillId="0" borderId="19" xfId="0" applyFont="1" applyBorder="1" applyAlignment="1" applyProtection="1">
      <alignment horizontal="center" vertical="center"/>
    </xf>
    <xf numFmtId="0" fontId="58" fillId="0" borderId="12" xfId="0" applyFont="1" applyBorder="1" applyAlignment="1" applyProtection="1">
      <alignment horizontal="center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0" fontId="44" fillId="2" borderId="85" xfId="0" applyFont="1" applyFill="1" applyBorder="1" applyAlignment="1" applyProtection="1">
      <alignment horizontal="left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0" fontId="3" fillId="21" borderId="98" xfId="1" quotePrefix="1" applyFill="1" applyBorder="1" applyAlignment="1" applyProtection="1">
      <alignment horizontal="right" vertical="center"/>
      <protection locked="0"/>
    </xf>
    <xf numFmtId="0" fontId="44" fillId="21" borderId="98" xfId="0" applyFont="1" applyFill="1" applyBorder="1" applyAlignment="1" applyProtection="1">
      <alignment horizontal="left" vertical="center"/>
    </xf>
    <xf numFmtId="0" fontId="3" fillId="0" borderId="98" xfId="1" quotePrefix="1" applyFill="1" applyBorder="1" applyAlignment="1" applyProtection="1">
      <alignment horizontal="right" vertical="center"/>
      <protection locked="0"/>
    </xf>
    <xf numFmtId="0" fontId="44" fillId="0" borderId="0" xfId="0" applyFont="1" applyProtection="1"/>
    <xf numFmtId="0" fontId="0" fillId="0" borderId="105" xfId="0" applyBorder="1"/>
    <xf numFmtId="0" fontId="0" fillId="0" borderId="82" xfId="0" applyFill="1" applyBorder="1" applyAlignment="1" applyProtection="1">
      <protection locked="0"/>
    </xf>
    <xf numFmtId="0" fontId="5" fillId="0" borderId="106" xfId="0" applyFont="1" applyBorder="1" applyAlignment="1" applyProtection="1">
      <alignment horizontal="center" vertical="center"/>
    </xf>
    <xf numFmtId="0" fontId="3" fillId="0" borderId="0" xfId="1" applyAlignment="1" applyProtection="1">
      <alignment horizontal="right"/>
    </xf>
    <xf numFmtId="0" fontId="43" fillId="20" borderId="28" xfId="0" applyFont="1" applyFill="1" applyBorder="1" applyAlignment="1" applyProtection="1">
      <alignment horizontal="center" vertical="center"/>
    </xf>
    <xf numFmtId="0" fontId="43" fillId="20" borderId="37" xfId="0" applyFont="1" applyFill="1" applyBorder="1" applyAlignment="1" applyProtection="1">
      <alignment horizontal="center" vertical="center"/>
    </xf>
    <xf numFmtId="0" fontId="43" fillId="20" borderId="15" xfId="0" applyFont="1" applyFill="1" applyBorder="1" applyAlignment="1" applyProtection="1">
      <alignment horizontal="center" vertical="center"/>
    </xf>
    <xf numFmtId="0" fontId="53" fillId="20" borderId="29" xfId="0" applyFont="1" applyFill="1" applyBorder="1" applyAlignment="1" applyProtection="1">
      <alignment horizontal="center"/>
    </xf>
    <xf numFmtId="0" fontId="53" fillId="20" borderId="87" xfId="0" applyFont="1" applyFill="1" applyBorder="1" applyAlignment="1" applyProtection="1">
      <alignment horizontal="center"/>
    </xf>
    <xf numFmtId="0" fontId="53" fillId="20" borderId="66" xfId="0" applyFont="1" applyFill="1" applyBorder="1" applyAlignment="1" applyProtection="1">
      <alignment horizontal="center"/>
    </xf>
    <xf numFmtId="0" fontId="53" fillId="13" borderId="29" xfId="0" applyFont="1" applyFill="1" applyBorder="1" applyAlignment="1" applyProtection="1">
      <alignment horizontal="center"/>
    </xf>
    <xf numFmtId="0" fontId="53" fillId="13" borderId="87" xfId="0" applyFont="1" applyFill="1" applyBorder="1" applyAlignment="1" applyProtection="1">
      <alignment horizontal="center"/>
    </xf>
    <xf numFmtId="0" fontId="53" fillId="13" borderId="20" xfId="0" applyFont="1" applyFill="1" applyBorder="1" applyAlignment="1" applyProtection="1">
      <alignment horizontal="center"/>
    </xf>
    <xf numFmtId="0" fontId="53" fillId="13" borderId="66" xfId="0" applyFont="1" applyFill="1" applyBorder="1" applyAlignment="1" applyProtection="1">
      <alignment horizontal="center"/>
    </xf>
    <xf numFmtId="0" fontId="11" fillId="0" borderId="64" xfId="0" applyFont="1" applyBorder="1" applyAlignment="1" applyProtection="1">
      <alignment horizontal="left" vertical="center"/>
    </xf>
    <xf numFmtId="0" fontId="11" fillId="0" borderId="65" xfId="0" applyFont="1" applyBorder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/>
    </xf>
    <xf numFmtId="0" fontId="43" fillId="7" borderId="26" xfId="0" applyFont="1" applyFill="1" applyBorder="1" applyAlignment="1" applyProtection="1">
      <alignment horizontal="center" vertical="center" wrapText="1"/>
    </xf>
    <xf numFmtId="0" fontId="43" fillId="7" borderId="60" xfId="0" applyFont="1" applyFill="1" applyBorder="1" applyAlignment="1" applyProtection="1">
      <alignment horizontal="center" vertical="center" wrapText="1"/>
    </xf>
    <xf numFmtId="0" fontId="43" fillId="7" borderId="14" xfId="0" applyFont="1" applyFill="1" applyBorder="1" applyAlignment="1" applyProtection="1">
      <alignment horizontal="center" vertical="center" wrapText="1"/>
    </xf>
    <xf numFmtId="0" fontId="43" fillId="12" borderId="26" xfId="0" applyFont="1" applyFill="1" applyBorder="1" applyAlignment="1" applyProtection="1">
      <alignment horizontal="center" vertical="center" wrapText="1"/>
    </xf>
    <xf numFmtId="0" fontId="43" fillId="12" borderId="60" xfId="0" applyFont="1" applyFill="1" applyBorder="1" applyAlignment="1" applyProtection="1">
      <alignment horizontal="center" vertical="center" wrapText="1"/>
    </xf>
    <xf numFmtId="0" fontId="43" fillId="12" borderId="14" xfId="0" applyFont="1" applyFill="1" applyBorder="1" applyAlignment="1" applyProtection="1">
      <alignment horizontal="center" vertical="center" wrapText="1"/>
    </xf>
    <xf numFmtId="0" fontId="43" fillId="8" borderId="60" xfId="0" applyFont="1" applyFill="1" applyBorder="1" applyAlignment="1" applyProtection="1">
      <alignment horizontal="center" vertical="center" wrapText="1"/>
    </xf>
    <xf numFmtId="0" fontId="43" fillId="8" borderId="85" xfId="0" applyFont="1" applyFill="1" applyBorder="1" applyAlignment="1" applyProtection="1">
      <alignment horizontal="center" vertical="center" wrapText="1"/>
    </xf>
    <xf numFmtId="0" fontId="43" fillId="8" borderId="14" xfId="0" applyFont="1" applyFill="1" applyBorder="1" applyAlignment="1" applyProtection="1">
      <alignment horizontal="center" vertical="center" wrapText="1"/>
    </xf>
    <xf numFmtId="0" fontId="54" fillId="17" borderId="37" xfId="0" applyFont="1" applyFill="1" applyBorder="1" applyAlignment="1" applyProtection="1">
      <alignment horizontal="center" vertical="center" wrapText="1"/>
    </xf>
    <xf numFmtId="0" fontId="54" fillId="17" borderId="15" xfId="0" applyFont="1" applyFill="1" applyBorder="1" applyAlignment="1" applyProtection="1">
      <alignment horizontal="center" vertical="center" wrapText="1"/>
    </xf>
    <xf numFmtId="0" fontId="54" fillId="13" borderId="79" xfId="0" applyFont="1" applyFill="1" applyBorder="1" applyAlignment="1" applyProtection="1">
      <alignment horizontal="center" vertical="center" wrapText="1"/>
    </xf>
    <xf numFmtId="0" fontId="54" fillId="13" borderId="65" xfId="0" applyFont="1" applyFill="1" applyBorder="1" applyAlignment="1" applyProtection="1">
      <alignment horizontal="center" vertical="center" wrapText="1"/>
    </xf>
    <xf numFmtId="0" fontId="31" fillId="7" borderId="0" xfId="0" applyFont="1" applyFill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right" vertical="center" wrapText="1"/>
    </xf>
    <xf numFmtId="0" fontId="7" fillId="5" borderId="0" xfId="0" applyFon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  <protection locked="0"/>
    </xf>
    <xf numFmtId="3" fontId="0" fillId="0" borderId="25" xfId="0" applyNumberForma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right" vertical="center" wrapText="1"/>
    </xf>
    <xf numFmtId="0" fontId="36" fillId="0" borderId="0" xfId="0" applyFont="1" applyFill="1" applyAlignment="1" applyProtection="1">
      <alignment horizontal="center" vertical="center"/>
    </xf>
    <xf numFmtId="0" fontId="37" fillId="0" borderId="20" xfId="0" applyFont="1" applyBorder="1" applyAlignment="1" applyProtection="1">
      <alignment horizontal="right" vertical="center" wrapText="1"/>
    </xf>
    <xf numFmtId="0" fontId="40" fillId="15" borderId="0" xfId="0" applyFont="1" applyFill="1" applyAlignment="1" applyProtection="1">
      <alignment horizontal="center" vertical="center" wrapText="1"/>
    </xf>
    <xf numFmtId="0" fontId="31" fillId="12" borderId="0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right" vertical="center"/>
    </xf>
    <xf numFmtId="0" fontId="5" fillId="2" borderId="68" xfId="0" applyFont="1" applyFill="1" applyBorder="1" applyAlignment="1" applyProtection="1">
      <alignment horizontal="right" vertical="center"/>
    </xf>
    <xf numFmtId="0" fontId="1" fillId="2" borderId="70" xfId="0" applyFont="1" applyFill="1" applyBorder="1" applyAlignment="1" applyProtection="1">
      <alignment horizontal="right" vertical="center"/>
    </xf>
    <xf numFmtId="0" fontId="1" fillId="2" borderId="71" xfId="0" applyFont="1" applyFill="1" applyBorder="1" applyAlignment="1" applyProtection="1">
      <alignment horizontal="right" vertical="center"/>
    </xf>
    <xf numFmtId="0" fontId="10" fillId="2" borderId="20" xfId="0" applyFont="1" applyFill="1" applyBorder="1" applyAlignment="1" applyProtection="1">
      <alignment horizontal="right" vertical="center"/>
    </xf>
    <xf numFmtId="0" fontId="10" fillId="2" borderId="72" xfId="0" applyFont="1" applyFill="1" applyBorder="1" applyAlignment="1" applyProtection="1">
      <alignment horizontal="right" vertical="center"/>
    </xf>
    <xf numFmtId="0" fontId="10" fillId="2" borderId="73" xfId="0" applyFont="1" applyFill="1" applyBorder="1" applyAlignment="1" applyProtection="1">
      <alignment horizontal="right" vertical="center"/>
    </xf>
    <xf numFmtId="0" fontId="10" fillId="2" borderId="74" xfId="0" applyFont="1" applyFill="1" applyBorder="1" applyAlignment="1" applyProtection="1">
      <alignment horizontal="right" vertical="center"/>
    </xf>
    <xf numFmtId="0" fontId="10" fillId="2" borderId="50" xfId="0" applyFont="1" applyFill="1" applyBorder="1" applyAlignment="1" applyProtection="1">
      <alignment horizontal="center" vertical="center" shrinkToFit="1"/>
    </xf>
    <xf numFmtId="0" fontId="10" fillId="2" borderId="75" xfId="0" applyFont="1" applyFill="1" applyBorder="1" applyAlignment="1" applyProtection="1">
      <alignment horizontal="center" vertical="center" shrinkToFit="1"/>
    </xf>
    <xf numFmtId="0" fontId="5" fillId="2" borderId="76" xfId="0" applyFont="1" applyFill="1" applyBorder="1" applyAlignment="1" applyProtection="1">
      <alignment horizontal="right" vertical="center"/>
    </xf>
    <xf numFmtId="0" fontId="5" fillId="2" borderId="77" xfId="0" applyFont="1" applyFill="1" applyBorder="1" applyAlignment="1" applyProtection="1">
      <alignment horizontal="right" vertical="center"/>
    </xf>
    <xf numFmtId="0" fontId="10" fillId="0" borderId="78" xfId="0" applyFont="1" applyBorder="1" applyAlignment="1" applyProtection="1">
      <alignment horizontal="right" vertical="top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82" xfId="0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center" vertical="center"/>
    </xf>
    <xf numFmtId="3" fontId="22" fillId="0" borderId="0" xfId="0" applyNumberFormat="1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top" wrapText="1"/>
    </xf>
    <xf numFmtId="3" fontId="9" fillId="0" borderId="96" xfId="2" applyNumberFormat="1" applyFont="1" applyBorder="1" applyAlignment="1" applyProtection="1">
      <alignment horizontal="center" vertical="center"/>
    </xf>
    <xf numFmtId="3" fontId="9" fillId="0" borderId="39" xfId="2" applyNumberFormat="1" applyFont="1" applyBorder="1" applyAlignment="1" applyProtection="1">
      <alignment horizontal="center" vertical="center"/>
    </xf>
    <xf numFmtId="3" fontId="0" fillId="0" borderId="78" xfId="0" applyNumberForma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right" vertical="center" wrapText="1"/>
    </xf>
    <xf numFmtId="0" fontId="48" fillId="0" borderId="83" xfId="0" applyFont="1" applyBorder="1" applyAlignment="1" applyProtection="1">
      <alignment horizontal="right" vertical="center" wrapText="1"/>
    </xf>
    <xf numFmtId="0" fontId="54" fillId="8" borderId="0" xfId="0" applyFont="1" applyFill="1" applyBorder="1" applyAlignment="1" applyProtection="1">
      <alignment horizontal="left" vertical="center"/>
    </xf>
    <xf numFmtId="0" fontId="31" fillId="17" borderId="0" xfId="0" applyFont="1" applyFill="1" applyBorder="1" applyAlignment="1" applyProtection="1">
      <alignment horizontal="left" vertical="center"/>
    </xf>
    <xf numFmtId="2" fontId="0" fillId="0" borderId="84" xfId="0" applyNumberFormat="1" applyBorder="1" applyAlignment="1">
      <alignment horizontal="center" vertical="center"/>
    </xf>
    <xf numFmtId="2" fontId="0" fillId="0" borderId="82" xfId="0" applyNumberFormat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3" fontId="9" fillId="5" borderId="65" xfId="2" applyNumberFormat="1" applyFont="1" applyFill="1" applyBorder="1" applyAlignment="1" applyProtection="1">
      <alignment horizontal="center" vertical="center"/>
    </xf>
    <xf numFmtId="3" fontId="9" fillId="5" borderId="79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64" xfId="0" applyNumberFormat="1" applyBorder="1" applyAlignment="1" applyProtection="1">
      <alignment horizontal="center" vertical="center"/>
    </xf>
    <xf numFmtId="2" fontId="0" fillId="0" borderId="82" xfId="0" applyNumberFormat="1" applyBorder="1" applyAlignment="1" applyProtection="1">
      <alignment horizontal="center" vertical="center"/>
    </xf>
    <xf numFmtId="2" fontId="0" fillId="0" borderId="65" xfId="0" applyNumberFormat="1" applyBorder="1" applyAlignment="1" applyProtection="1">
      <alignment horizontal="center" vertical="center"/>
    </xf>
    <xf numFmtId="2" fontId="0" fillId="0" borderId="10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1" fontId="51" fillId="5" borderId="84" xfId="0" applyNumberFormat="1" applyFont="1" applyFill="1" applyBorder="1" applyAlignment="1">
      <alignment horizontal="center" vertical="center"/>
    </xf>
    <xf numFmtId="1" fontId="51" fillId="5" borderId="82" xfId="0" applyNumberFormat="1" applyFont="1" applyFill="1" applyBorder="1" applyAlignment="1">
      <alignment horizontal="center" vertical="center"/>
    </xf>
    <xf numFmtId="1" fontId="51" fillId="5" borderId="65" xfId="0" applyNumberFormat="1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/>
    </xf>
    <xf numFmtId="0" fontId="0" fillId="0" borderId="91" xfId="0" applyBorder="1" applyAlignment="1" applyProtection="1">
      <alignment horizontal="center" vertical="center"/>
    </xf>
    <xf numFmtId="3" fontId="9" fillId="5" borderId="82" xfId="2" applyNumberFormat="1" applyFont="1" applyFill="1" applyBorder="1" applyAlignment="1" applyProtection="1">
      <alignment horizontal="center" vertical="center"/>
    </xf>
    <xf numFmtId="0" fontId="51" fillId="5" borderId="84" xfId="0" applyFont="1" applyFill="1" applyBorder="1" applyAlignment="1">
      <alignment horizontal="center" vertical="center"/>
    </xf>
    <xf numFmtId="0" fontId="51" fillId="5" borderId="82" xfId="0" applyFont="1" applyFill="1" applyBorder="1" applyAlignment="1">
      <alignment horizontal="center" vertical="center"/>
    </xf>
    <xf numFmtId="0" fontId="51" fillId="5" borderId="65" xfId="0" applyFont="1" applyFill="1" applyBorder="1" applyAlignment="1">
      <alignment horizontal="center" vertical="center"/>
    </xf>
    <xf numFmtId="3" fontId="9" fillId="5" borderId="84" xfId="2" applyNumberFormat="1" applyFont="1" applyFill="1" applyBorder="1" applyAlignment="1" applyProtection="1">
      <alignment horizontal="center" vertical="center"/>
    </xf>
    <xf numFmtId="3" fontId="9" fillId="5" borderId="104" xfId="2" applyNumberFormat="1" applyFont="1" applyFill="1" applyBorder="1" applyAlignment="1" applyProtection="1">
      <alignment horizontal="center" vertical="center"/>
    </xf>
    <xf numFmtId="0" fontId="0" fillId="0" borderId="92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center" vertical="center"/>
    </xf>
    <xf numFmtId="0" fontId="0" fillId="0" borderId="94" xfId="0" applyBorder="1" applyAlignment="1" applyProtection="1">
      <alignment horizontal="center" vertical="center"/>
    </xf>
    <xf numFmtId="3" fontId="9" fillId="5" borderId="100" xfId="2" applyNumberFormat="1" applyFont="1" applyFill="1" applyBorder="1" applyAlignment="1" applyProtection="1">
      <alignment horizontal="center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0" fontId="31" fillId="13" borderId="0" xfId="0" applyFont="1" applyFill="1" applyBorder="1" applyAlignment="1" applyProtection="1">
      <alignment horizontal="left" vertical="center"/>
    </xf>
    <xf numFmtId="0" fontId="47" fillId="20" borderId="0" xfId="0" applyFont="1" applyFill="1" applyBorder="1" applyAlignment="1" applyProtection="1">
      <alignment horizontal="left" vertical="center"/>
    </xf>
    <xf numFmtId="0" fontId="10" fillId="8" borderId="98" xfId="0" applyFont="1" applyFill="1" applyBorder="1" applyProtection="1"/>
    <xf numFmtId="0" fontId="43" fillId="8" borderId="98" xfId="0" applyFont="1" applyFill="1" applyBorder="1" applyAlignment="1" applyProtection="1">
      <alignment horizontal="center" vertical="center" wrapText="1"/>
    </xf>
    <xf numFmtId="0" fontId="3" fillId="0" borderId="98" xfId="1" applyFill="1" applyBorder="1" applyAlignment="1" applyProtection="1">
      <alignment horizontal="right" vertical="center"/>
      <protection locked="0"/>
    </xf>
    <xf numFmtId="0" fontId="44" fillId="0" borderId="60" xfId="0" applyFont="1" applyFill="1" applyBorder="1" applyAlignment="1" applyProtection="1">
      <alignment horizontal="left" vertical="center"/>
    </xf>
    <xf numFmtId="0" fontId="3" fillId="0" borderId="60" xfId="1" applyFill="1" applyBorder="1" applyAlignment="1" applyProtection="1">
      <alignment horizontal="right" vertical="center"/>
      <protection locked="0"/>
    </xf>
    <xf numFmtId="0" fontId="3" fillId="9" borderId="14" xfId="1" applyFill="1" applyBorder="1" applyAlignment="1" applyProtection="1">
      <alignment horizontal="right" vertical="center"/>
      <protection locked="0"/>
    </xf>
    <xf numFmtId="0" fontId="44" fillId="9" borderId="14" xfId="0" applyFont="1" applyFill="1" applyBorder="1" applyAlignment="1" applyProtection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F9F"/>
      <color rgb="FF0000FF"/>
      <color rgb="FFFF8585"/>
      <color rgb="FFFD4E31"/>
      <color rgb="FFC198E0"/>
      <color rgb="FFFFFFCC"/>
      <color rgb="FFFFFFFF"/>
      <color rgb="FF3F22EA"/>
      <color rgb="FF0C2CB4"/>
      <color rgb="FF300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28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8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8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8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28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jpeg"/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2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jp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2107575</xdr:colOff>
      <xdr:row>1</xdr:row>
      <xdr:rowOff>720000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" y="304800"/>
          <a:ext cx="3222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62911</xdr:colOff>
      <xdr:row>34</xdr:row>
      <xdr:rowOff>0</xdr:rowOff>
    </xdr:from>
    <xdr:to>
      <xdr:col>5</xdr:col>
      <xdr:colOff>0</xdr:colOff>
      <xdr:row>44</xdr:row>
      <xdr:rowOff>46425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36" y="5715000"/>
          <a:ext cx="3061289" cy="19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424200</xdr:colOff>
      <xdr:row>24</xdr:row>
      <xdr:rowOff>0</xdr:rowOff>
    </xdr:from>
    <xdr:to>
      <xdr:col>5</xdr:col>
      <xdr:colOff>0</xdr:colOff>
      <xdr:row>37</xdr:row>
      <xdr:rowOff>61575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25" y="4895850"/>
          <a:ext cx="2700000" cy="27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501225</xdr:colOff>
      <xdr:row>34</xdr:row>
      <xdr:rowOff>0</xdr:rowOff>
    </xdr:from>
    <xdr:to>
      <xdr:col>4</xdr:col>
      <xdr:colOff>0</xdr:colOff>
      <xdr:row>44</xdr:row>
      <xdr:rowOff>46425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50" y="5715000"/>
          <a:ext cx="1908600" cy="198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300327</xdr:colOff>
      <xdr:row>28</xdr:row>
      <xdr:rowOff>0</xdr:rowOff>
    </xdr:from>
    <xdr:to>
      <xdr:col>5</xdr:col>
      <xdr:colOff>0</xdr:colOff>
      <xdr:row>43</xdr:row>
      <xdr:rowOff>86082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327" y="4333875"/>
          <a:ext cx="3404898" cy="258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124962</xdr:colOff>
      <xdr:row>29</xdr:row>
      <xdr:rowOff>0</xdr:rowOff>
    </xdr:from>
    <xdr:to>
      <xdr:col>5</xdr:col>
      <xdr:colOff>0</xdr:colOff>
      <xdr:row>44</xdr:row>
      <xdr:rowOff>117353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87" y="4924425"/>
          <a:ext cx="2999238" cy="2612903"/>
        </a:xfrm>
        <a:prstGeom prst="rect">
          <a:avLst/>
        </a:prstGeom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289111</xdr:colOff>
      <xdr:row>28</xdr:row>
      <xdr:rowOff>0</xdr:rowOff>
    </xdr:from>
    <xdr:to>
      <xdr:col>4</xdr:col>
      <xdr:colOff>695325</xdr:colOff>
      <xdr:row>42</xdr:row>
      <xdr:rowOff>85151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111" y="4752975"/>
          <a:ext cx="3397064" cy="2418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56593</xdr:colOff>
      <xdr:row>28</xdr:row>
      <xdr:rowOff>0</xdr:rowOff>
    </xdr:from>
    <xdr:to>
      <xdr:col>4</xdr:col>
      <xdr:colOff>612140</xdr:colOff>
      <xdr:row>41</xdr:row>
      <xdr:rowOff>3061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93" y="4752975"/>
          <a:ext cx="3648632" cy="2183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155171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56593</xdr:colOff>
      <xdr:row>28</xdr:row>
      <xdr:rowOff>0</xdr:rowOff>
    </xdr:from>
    <xdr:to>
      <xdr:col>5</xdr:col>
      <xdr:colOff>0</xdr:colOff>
      <xdr:row>41</xdr:row>
      <xdr:rowOff>8141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D4BD5D-9991-40C3-AB08-6CBFD275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93" y="4747260"/>
          <a:ext cx="3738167" cy="216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165331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6377092B-0CA6-476F-888F-7E6A5CA7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0441" y="464820"/>
          <a:ext cx="188317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507943</xdr:colOff>
      <xdr:row>28</xdr:row>
      <xdr:rowOff>0</xdr:rowOff>
    </xdr:from>
    <xdr:to>
      <xdr:col>5</xdr:col>
      <xdr:colOff>0</xdr:colOff>
      <xdr:row>44</xdr:row>
      <xdr:rowOff>141052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43" y="4772025"/>
          <a:ext cx="3292532" cy="2924257"/>
        </a:xfrm>
        <a:prstGeom prst="rect">
          <a:avLst/>
        </a:prstGeom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162791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259849</xdr:colOff>
      <xdr:row>30</xdr:row>
      <xdr:rowOff>0</xdr:rowOff>
    </xdr:from>
    <xdr:to>
      <xdr:col>5</xdr:col>
      <xdr:colOff>0</xdr:colOff>
      <xdr:row>42</xdr:row>
      <xdr:rowOff>19841</xdr:rowOff>
    </xdr:to>
    <xdr:pic>
      <xdr:nvPicPr>
        <xdr:cNvPr id="2252" name="Picture 2">
          <a:extLst>
            <a:ext uri="{FF2B5EF4-FFF2-40B4-BE49-F238E27FC236}">
              <a16:creationId xmlns:a16="http://schemas.microsoft.com/office/drawing/2014/main" id="{00000000-0008-0000-13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849" y="5086350"/>
          <a:ext cx="3445376" cy="2020091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219939</xdr:colOff>
      <xdr:row>28</xdr:row>
      <xdr:rowOff>18600</xdr:rowOff>
    </xdr:from>
    <xdr:to>
      <xdr:col>5</xdr:col>
      <xdr:colOff>0</xdr:colOff>
      <xdr:row>41</xdr:row>
      <xdr:rowOff>0</xdr:rowOff>
    </xdr:to>
    <xdr:pic>
      <xdr:nvPicPr>
        <xdr:cNvPr id="17613" name="Picture 5">
          <a:extLst>
            <a:ext uri="{FF2B5EF4-FFF2-40B4-BE49-F238E27FC236}">
              <a16:creationId xmlns:a16="http://schemas.microsoft.com/office/drawing/2014/main" id="{00000000-0008-0000-0100-0000C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939" y="4352475"/>
          <a:ext cx="3485286" cy="215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424409</xdr:colOff>
      <xdr:row>1</xdr:row>
      <xdr:rowOff>160193</xdr:rowOff>
    </xdr:from>
    <xdr:to>
      <xdr:col>7</xdr:col>
      <xdr:colOff>571500</xdr:colOff>
      <xdr:row>3</xdr:row>
      <xdr:rowOff>170145</xdr:rowOff>
    </xdr:to>
    <xdr:pic>
      <xdr:nvPicPr>
        <xdr:cNvPr id="17614" name="Picture 32">
          <a:extLst>
            <a:ext uri="{FF2B5EF4-FFF2-40B4-BE49-F238E27FC236}">
              <a16:creationId xmlns:a16="http://schemas.microsoft.com/office/drawing/2014/main" id="{00000000-0008-0000-0100-0000C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4993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294938</xdr:colOff>
      <xdr:row>31</xdr:row>
      <xdr:rowOff>1323</xdr:rowOff>
    </xdr:from>
    <xdr:to>
      <xdr:col>5</xdr:col>
      <xdr:colOff>0</xdr:colOff>
      <xdr:row>43</xdr:row>
      <xdr:rowOff>0</xdr:rowOff>
    </xdr:to>
    <xdr:pic>
      <xdr:nvPicPr>
        <xdr:cNvPr id="1228" name="Picture 1">
          <a:extLst>
            <a:ext uri="{FF2B5EF4-FFF2-40B4-BE49-F238E27FC236}">
              <a16:creationId xmlns:a16="http://schemas.microsoft.com/office/drawing/2014/main" id="{00000000-0008-0000-14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4938" y="5259123"/>
          <a:ext cx="3505537" cy="2103702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1039</xdr:rowOff>
    </xdr:from>
    <xdr:to>
      <xdr:col>7</xdr:col>
      <xdr:colOff>571500</xdr:colOff>
      <xdr:row>3</xdr:row>
      <xdr:rowOff>171450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7764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7CCFB0C9-D8FE-432B-B9FB-AF8FF627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8061" y="466725"/>
          <a:ext cx="1886989" cy="4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29</xdr:row>
      <xdr:rowOff>87630</xdr:rowOff>
    </xdr:from>
    <xdr:to>
      <xdr:col>5</xdr:col>
      <xdr:colOff>169230</xdr:colOff>
      <xdr:row>45</xdr:row>
      <xdr:rowOff>135694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F27010-FD40-43C0-BAE9-939234FC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4688205"/>
          <a:ext cx="3741105" cy="27245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9D0943D9-7495-43D1-BC84-899DE74A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8061" y="466725"/>
          <a:ext cx="1886989" cy="4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29</xdr:row>
      <xdr:rowOff>87630</xdr:rowOff>
    </xdr:from>
    <xdr:to>
      <xdr:col>5</xdr:col>
      <xdr:colOff>397559</xdr:colOff>
      <xdr:row>42</xdr:row>
      <xdr:rowOff>72695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31D64F-5713-4D7B-8853-BE57CA50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688205"/>
          <a:ext cx="4116119" cy="217581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186921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27608</xdr:colOff>
      <xdr:row>27</xdr:row>
      <xdr:rowOff>93869</xdr:rowOff>
    </xdr:from>
    <xdr:to>
      <xdr:col>5</xdr:col>
      <xdr:colOff>219708</xdr:colOff>
      <xdr:row>37</xdr:row>
      <xdr:rowOff>87495</xdr:rowOff>
    </xdr:to>
    <xdr:pic>
      <xdr:nvPicPr>
        <xdr:cNvPr id="6" name="Picture 5" descr="Shadow Stone 2unit">
          <a:extLst>
            <a:ext uri="{FF2B5EF4-FFF2-40B4-BE49-F238E27FC236}">
              <a16:creationId xmlns:a16="http://schemas.microsoft.com/office/drawing/2014/main" id="{7C8038B6-CA7D-46D9-9AC8-59901815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" b="446"/>
        <a:stretch>
          <a:fillRect/>
        </a:stretch>
      </xdr:blipFill>
      <xdr:spPr bwMode="auto">
        <a:xfrm>
          <a:off x="27608" y="4649304"/>
          <a:ext cx="3980013" cy="17108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601425</xdr:colOff>
      <xdr:row>31</xdr:row>
      <xdr:rowOff>17117</xdr:rowOff>
    </xdr:from>
    <xdr:to>
      <xdr:col>2</xdr:col>
      <xdr:colOff>18445</xdr:colOff>
      <xdr:row>32</xdr:row>
      <xdr:rowOff>7869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7369032-72BA-4620-A0EC-827341F09059}"/>
            </a:ext>
          </a:extLst>
        </xdr:cNvPr>
        <xdr:cNvSpPr txBox="1">
          <a:spLocks noChangeArrowheads="1"/>
        </xdr:cNvSpPr>
      </xdr:nvSpPr>
      <xdr:spPr bwMode="auto">
        <a:xfrm>
          <a:off x="1197773" y="5295900"/>
          <a:ext cx="421976" cy="1564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SHA/UL22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772269</xdr:colOff>
      <xdr:row>32</xdr:row>
      <xdr:rowOff>158362</xdr:rowOff>
    </xdr:from>
    <xdr:to>
      <xdr:col>2</xdr:col>
      <xdr:colOff>181669</xdr:colOff>
      <xdr:row>33</xdr:row>
      <xdr:rowOff>150385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1F845C56-DA48-4BF2-9C5D-A1CFD078A756}"/>
            </a:ext>
          </a:extLst>
        </xdr:cNvPr>
        <xdr:cNvSpPr txBox="1">
          <a:spLocks noChangeArrowheads="1"/>
        </xdr:cNvSpPr>
      </xdr:nvSpPr>
      <xdr:spPr bwMode="auto">
        <a:xfrm>
          <a:off x="1368617" y="5602797"/>
          <a:ext cx="414356" cy="15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SHA/UL50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162791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440690</xdr:colOff>
      <xdr:row>27</xdr:row>
      <xdr:rowOff>43180</xdr:rowOff>
    </xdr:from>
    <xdr:to>
      <xdr:col>5</xdr:col>
      <xdr:colOff>190500</xdr:colOff>
      <xdr:row>42</xdr:row>
      <xdr:rowOff>113913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4B78DB-D4A5-4B80-BE3A-30D8B8ED0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690" y="4608830"/>
          <a:ext cx="3540760" cy="25281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183111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27</xdr:row>
      <xdr:rowOff>114300</xdr:rowOff>
    </xdr:from>
    <xdr:to>
      <xdr:col>5</xdr:col>
      <xdr:colOff>269721</xdr:colOff>
      <xdr:row>44</xdr:row>
      <xdr:rowOff>39966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1EAFBD-1D7B-4238-B1C3-BF2D02E3C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4679950"/>
          <a:ext cx="3851121" cy="269426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186921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AB37C88F-B0DE-47F0-B994-B00F540F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15361" y="463550"/>
          <a:ext cx="1880639" cy="41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134620</xdr:colOff>
      <xdr:row>27</xdr:row>
      <xdr:rowOff>137161</xdr:rowOff>
    </xdr:from>
    <xdr:to>
      <xdr:col>5</xdr:col>
      <xdr:colOff>416559</xdr:colOff>
      <xdr:row>40</xdr:row>
      <xdr:rowOff>40641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1F76B8-07EC-4461-8485-0D2A9138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620" y="4702811"/>
          <a:ext cx="4071619" cy="204343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292331</xdr:colOff>
      <xdr:row>2</xdr:row>
      <xdr:rowOff>0</xdr:rowOff>
    </xdr:from>
    <xdr:to>
      <xdr:col>8</xdr:col>
      <xdr:colOff>571500</xdr:colOff>
      <xdr:row>3</xdr:row>
      <xdr:rowOff>157711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78531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206767</xdr:colOff>
      <xdr:row>28</xdr:row>
      <xdr:rowOff>114631</xdr:rowOff>
    </xdr:from>
    <xdr:to>
      <xdr:col>6</xdr:col>
      <xdr:colOff>416872</xdr:colOff>
      <xdr:row>42</xdr:row>
      <xdr:rowOff>120374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3D4EB9-B1BD-471F-B008-A18BBAC2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767" y="4861891"/>
          <a:ext cx="4187745" cy="241874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186921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82550</xdr:colOff>
      <xdr:row>27</xdr:row>
      <xdr:rowOff>36518</xdr:rowOff>
    </xdr:from>
    <xdr:to>
      <xdr:col>5</xdr:col>
      <xdr:colOff>307340</xdr:colOff>
      <xdr:row>38</xdr:row>
      <xdr:rowOff>111693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56B6F-14DE-406F-8360-5E05E038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" y="4602168"/>
          <a:ext cx="4030980" cy="190397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183111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403008</xdr:colOff>
      <xdr:row>27</xdr:row>
      <xdr:rowOff>55880</xdr:rowOff>
    </xdr:from>
    <xdr:to>
      <xdr:col>5</xdr:col>
      <xdr:colOff>72814</xdr:colOff>
      <xdr:row>39</xdr:row>
      <xdr:rowOff>116840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EB587-8FFA-4FD1-9CF8-98E8F3DB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008" y="4621530"/>
          <a:ext cx="3459486" cy="2073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506038</xdr:colOff>
      <xdr:row>28</xdr:row>
      <xdr:rowOff>0</xdr:rowOff>
    </xdr:from>
    <xdr:to>
      <xdr:col>5</xdr:col>
      <xdr:colOff>0</xdr:colOff>
      <xdr:row>44</xdr:row>
      <xdr:rowOff>129622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38" y="4762500"/>
          <a:ext cx="3199187" cy="2787097"/>
        </a:xfrm>
        <a:prstGeom prst="rect">
          <a:avLst/>
        </a:prstGeom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296843</xdr:colOff>
      <xdr:row>31</xdr:row>
      <xdr:rowOff>1323</xdr:rowOff>
    </xdr:from>
    <xdr:to>
      <xdr:col>5</xdr:col>
      <xdr:colOff>0</xdr:colOff>
      <xdr:row>43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6843" y="5249598"/>
          <a:ext cx="3408382" cy="2008452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1039</xdr:rowOff>
    </xdr:from>
    <xdr:to>
      <xdr:col>7</xdr:col>
      <xdr:colOff>571500</xdr:colOff>
      <xdr:row>3</xdr:row>
      <xdr:rowOff>171450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7764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168067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35</xdr:row>
      <xdr:rowOff>9525</xdr:rowOff>
    </xdr:from>
    <xdr:to>
      <xdr:col>4</xdr:col>
      <xdr:colOff>685423</xdr:colOff>
      <xdr:row>47</xdr:row>
      <xdr:rowOff>15822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0" y="7410450"/>
          <a:ext cx="3408382" cy="2008452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319325</xdr:colOff>
      <xdr:row>35</xdr:row>
      <xdr:rowOff>29766</xdr:rowOff>
    </xdr:from>
    <xdr:to>
      <xdr:col>5</xdr:col>
      <xdr:colOff>57333</xdr:colOff>
      <xdr:row>47</xdr:row>
      <xdr:rowOff>59370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6F3AB5-470C-42E5-9606-7B53AC91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9325" y="6268641"/>
          <a:ext cx="3546341" cy="2029616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59121</xdr:colOff>
      <xdr:row>35</xdr:row>
      <xdr:rowOff>98535</xdr:rowOff>
    </xdr:from>
    <xdr:to>
      <xdr:col>5</xdr:col>
      <xdr:colOff>284360</xdr:colOff>
      <xdr:row>49</xdr:row>
      <xdr:rowOff>154390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FC163E-905F-4B66-9F34-E24D6340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0328" y="6444156"/>
          <a:ext cx="3475169" cy="2420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506016</xdr:colOff>
      <xdr:row>35</xdr:row>
      <xdr:rowOff>11906</xdr:rowOff>
    </xdr:from>
    <xdr:to>
      <xdr:col>5</xdr:col>
      <xdr:colOff>324142</xdr:colOff>
      <xdr:row>48</xdr:row>
      <xdr:rowOff>96740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2BCFBE-DC8C-4DD7-828E-B8A9AD538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16" y="5929312"/>
          <a:ext cx="3634079" cy="223224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168067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412908</xdr:colOff>
      <xdr:row>34</xdr:row>
      <xdr:rowOff>97155</xdr:rowOff>
    </xdr:from>
    <xdr:to>
      <xdr:col>4</xdr:col>
      <xdr:colOff>631246</xdr:colOff>
      <xdr:row>51</xdr:row>
      <xdr:rowOff>208203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4D5FAE-19D4-4226-B971-6C8D5D65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908" y="5853827"/>
          <a:ext cx="3298247" cy="291282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168067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293077</xdr:colOff>
      <xdr:row>34</xdr:row>
      <xdr:rowOff>117230</xdr:rowOff>
    </xdr:from>
    <xdr:to>
      <xdr:col>5</xdr:col>
      <xdr:colOff>206297</xdr:colOff>
      <xdr:row>47</xdr:row>
      <xdr:rowOff>150868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98A72C-8BF5-48D2-B543-8F79AF89F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3077" y="6220557"/>
          <a:ext cx="3738167" cy="219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186921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FBA22502-1D57-46FC-8B6F-E515C0A9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15361" y="463550"/>
          <a:ext cx="1880639" cy="4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264160</xdr:colOff>
      <xdr:row>28</xdr:row>
      <xdr:rowOff>66041</xdr:rowOff>
    </xdr:from>
    <xdr:to>
      <xdr:col>4</xdr:col>
      <xdr:colOff>321310</xdr:colOff>
      <xdr:row>40</xdr:row>
      <xdr:rowOff>155287</xdr:rowOff>
    </xdr:to>
    <xdr:pic>
      <xdr:nvPicPr>
        <xdr:cNvPr id="4" name="Picture 3" descr="2-Unit Georgian Blend Bond Pattern">
          <a:extLst>
            <a:ext uri="{FF2B5EF4-FFF2-40B4-BE49-F238E27FC236}">
              <a16:creationId xmlns:a16="http://schemas.microsoft.com/office/drawing/2014/main" id="{004A9002-5F69-45B9-B078-1DDCBF49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" r="288"/>
        <a:stretch>
          <a:fillRect/>
        </a:stretch>
      </xdr:blipFill>
      <xdr:spPr bwMode="auto">
        <a:xfrm>
          <a:off x="264160" y="4796791"/>
          <a:ext cx="3117850" cy="20894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186921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44450</xdr:colOff>
      <xdr:row>27</xdr:row>
      <xdr:rowOff>95250</xdr:rowOff>
    </xdr:from>
    <xdr:to>
      <xdr:col>5</xdr:col>
      <xdr:colOff>227065</xdr:colOff>
      <xdr:row>41</xdr:row>
      <xdr:rowOff>10657</xdr:rowOff>
    </xdr:to>
    <xdr:pic>
      <xdr:nvPicPr>
        <xdr:cNvPr id="5" name="Picture 4" descr="3-Unit Georgian Blend Bond Pattern">
          <a:extLst>
            <a:ext uri="{FF2B5EF4-FFF2-40B4-BE49-F238E27FC236}">
              <a16:creationId xmlns:a16="http://schemas.microsoft.com/office/drawing/2014/main" id="{F0301B94-6ED3-469A-A98B-7C134BA3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" r="552"/>
        <a:stretch>
          <a:fillRect/>
        </a:stretch>
      </xdr:blipFill>
      <xdr:spPr bwMode="auto">
        <a:xfrm>
          <a:off x="44450" y="4660900"/>
          <a:ext cx="3973565" cy="22395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99005</xdr:colOff>
      <xdr:row>40</xdr:row>
      <xdr:rowOff>30837</xdr:rowOff>
    </xdr:from>
    <xdr:to>
      <xdr:col>0</xdr:col>
      <xdr:colOff>410983</xdr:colOff>
      <xdr:row>40</xdr:row>
      <xdr:rowOff>128877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66A1D1B0-57AC-4C02-9E23-B82FB5CFC555}"/>
            </a:ext>
          </a:extLst>
        </xdr:cNvPr>
        <xdr:cNvSpPr txBox="1">
          <a:spLocks noChangeArrowheads="1"/>
        </xdr:cNvSpPr>
      </xdr:nvSpPr>
      <xdr:spPr bwMode="auto">
        <a:xfrm>
          <a:off x="99005" y="6761837"/>
          <a:ext cx="311978" cy="980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 Narrow"/>
            </a:rPr>
            <a:t>AGB75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822517</xdr:colOff>
      <xdr:row>40</xdr:row>
      <xdr:rowOff>10462</xdr:rowOff>
    </xdr:from>
    <xdr:to>
      <xdr:col>2</xdr:col>
      <xdr:colOff>130078</xdr:colOff>
      <xdr:row>40</xdr:row>
      <xdr:rowOff>114852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2B98D91A-8B2A-4F44-8EDD-5413369E3B1B}"/>
            </a:ext>
          </a:extLst>
        </xdr:cNvPr>
        <xdr:cNvSpPr txBox="1">
          <a:spLocks noChangeArrowheads="1"/>
        </xdr:cNvSpPr>
      </xdr:nvSpPr>
      <xdr:spPr bwMode="auto">
        <a:xfrm>
          <a:off x="1419417" y="6741462"/>
          <a:ext cx="310861" cy="1043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 Narrow"/>
            </a:rPr>
            <a:t>AGB50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98674</xdr:colOff>
      <xdr:row>37</xdr:row>
      <xdr:rowOff>63233</xdr:rowOff>
    </xdr:from>
    <xdr:to>
      <xdr:col>0</xdr:col>
      <xdr:colOff>410597</xdr:colOff>
      <xdr:row>38</xdr:row>
      <xdr:rowOff>21976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85091871-AE87-441F-BAF5-AF6ADDDF71A1}"/>
            </a:ext>
          </a:extLst>
        </xdr:cNvPr>
        <xdr:cNvSpPr txBox="1">
          <a:spLocks noChangeArrowheads="1"/>
        </xdr:cNvSpPr>
      </xdr:nvSpPr>
      <xdr:spPr bwMode="auto">
        <a:xfrm>
          <a:off x="98674" y="6317983"/>
          <a:ext cx="311923" cy="1174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 Narrow"/>
            </a:rPr>
            <a:t>AGB22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425681</xdr:colOff>
      <xdr:row>2</xdr:row>
      <xdr:rowOff>0</xdr:rowOff>
    </xdr:from>
    <xdr:to>
      <xdr:col>8</xdr:col>
      <xdr:colOff>571500</xdr:colOff>
      <xdr:row>3</xdr:row>
      <xdr:rowOff>186921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3616EA82-3380-432C-8418-9F22A6AF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15361" y="463550"/>
          <a:ext cx="1880639" cy="415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27</xdr:row>
      <xdr:rowOff>38100</xdr:rowOff>
    </xdr:from>
    <xdr:to>
      <xdr:col>6</xdr:col>
      <xdr:colOff>151186</xdr:colOff>
      <xdr:row>44</xdr:row>
      <xdr:rowOff>49659</xdr:rowOff>
    </xdr:to>
    <xdr:pic>
      <xdr:nvPicPr>
        <xdr:cNvPr id="9" name="Picture 8" descr="4-Unit Georgian Blend Bond Pattern-AGB22-AGB50-AGB75-AGB103">
          <a:extLst>
            <a:ext uri="{FF2B5EF4-FFF2-40B4-BE49-F238E27FC236}">
              <a16:creationId xmlns:a16="http://schemas.microsoft.com/office/drawing/2014/main" id="{C899407A-2321-458C-9CC5-75B0CA86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" b="162"/>
        <a:stretch>
          <a:fillRect/>
        </a:stretch>
      </xdr:blipFill>
      <xdr:spPr bwMode="auto">
        <a:xfrm>
          <a:off x="12700" y="4603750"/>
          <a:ext cx="3929436" cy="28119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210547</xdr:colOff>
      <xdr:row>28</xdr:row>
      <xdr:rowOff>0</xdr:rowOff>
    </xdr:from>
    <xdr:to>
      <xdr:col>5</xdr:col>
      <xdr:colOff>0</xdr:colOff>
      <xdr:row>42</xdr:row>
      <xdr:rowOff>125088</xdr:rowOff>
    </xdr:to>
    <xdr:pic>
      <xdr:nvPicPr>
        <xdr:cNvPr id="11469" name="Picture 3">
          <a:extLst>
            <a:ext uri="{FF2B5EF4-FFF2-40B4-BE49-F238E27FC236}">
              <a16:creationId xmlns:a16="http://schemas.microsoft.com/office/drawing/2014/main" id="{00000000-0008-0000-0300-0000C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547" y="4333875"/>
          <a:ext cx="3494678" cy="245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425681</xdr:colOff>
      <xdr:row>2</xdr:row>
      <xdr:rowOff>0</xdr:rowOff>
    </xdr:from>
    <xdr:to>
      <xdr:col>8</xdr:col>
      <xdr:colOff>571500</xdr:colOff>
      <xdr:row>3</xdr:row>
      <xdr:rowOff>186921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6F30FA42-278A-434D-981A-7565DFD6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611" y="463550"/>
          <a:ext cx="1880639" cy="415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312646</xdr:colOff>
      <xdr:row>43</xdr:row>
      <xdr:rowOff>117006</xdr:rowOff>
    </xdr:to>
    <xdr:pic>
      <xdr:nvPicPr>
        <xdr:cNvPr id="4" name="Picture 3" descr="4-Unit Georgian Blend Bond Pattern-AGB22-START-AGB50-AGB75">
          <a:extLst>
            <a:ext uri="{FF2B5EF4-FFF2-40B4-BE49-F238E27FC236}">
              <a16:creationId xmlns:a16="http://schemas.microsoft.com/office/drawing/2014/main" id="{37ADAB08-42E3-41A0-A917-10EE76FF5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" r="130"/>
        <a:stretch>
          <a:fillRect/>
        </a:stretch>
      </xdr:blipFill>
      <xdr:spPr bwMode="auto">
        <a:xfrm>
          <a:off x="190500" y="4730750"/>
          <a:ext cx="4643346" cy="25935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425681</xdr:colOff>
      <xdr:row>2</xdr:row>
      <xdr:rowOff>0</xdr:rowOff>
    </xdr:from>
    <xdr:to>
      <xdr:col>9</xdr:col>
      <xdr:colOff>571500</xdr:colOff>
      <xdr:row>3</xdr:row>
      <xdr:rowOff>186921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76880AC8-5091-40AA-84AE-3D85B473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611" y="463550"/>
          <a:ext cx="1880639" cy="415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156211</xdr:colOff>
      <xdr:row>28</xdr:row>
      <xdr:rowOff>106681</xdr:rowOff>
    </xdr:from>
    <xdr:to>
      <xdr:col>6</xdr:col>
      <xdr:colOff>288291</xdr:colOff>
      <xdr:row>43</xdr:row>
      <xdr:rowOff>48625</xdr:rowOff>
    </xdr:to>
    <xdr:pic>
      <xdr:nvPicPr>
        <xdr:cNvPr id="4" name="Picture 3" descr="5-Unit Georgian Blend Bond Pattern">
          <a:extLst>
            <a:ext uri="{FF2B5EF4-FFF2-40B4-BE49-F238E27FC236}">
              <a16:creationId xmlns:a16="http://schemas.microsoft.com/office/drawing/2014/main" id="{4A9C306E-02C1-4C77-9990-A02DF7DA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" r="258"/>
        <a:stretch>
          <a:fillRect/>
        </a:stretch>
      </xdr:blipFill>
      <xdr:spPr bwMode="auto">
        <a:xfrm>
          <a:off x="753111" y="5466081"/>
          <a:ext cx="4056380" cy="24184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27</xdr:row>
      <xdr:rowOff>95251</xdr:rowOff>
    </xdr:from>
    <xdr:to>
      <xdr:col>4</xdr:col>
      <xdr:colOff>477556</xdr:colOff>
      <xdr:row>41</xdr:row>
      <xdr:rowOff>55246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6"/>
          <a:ext cx="2843566" cy="23050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85726</xdr:colOff>
      <xdr:row>27</xdr:row>
      <xdr:rowOff>123825</xdr:rowOff>
    </xdr:from>
    <xdr:to>
      <xdr:col>5</xdr:col>
      <xdr:colOff>152401</xdr:colOff>
      <xdr:row>41</xdr:row>
      <xdr:rowOff>22457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4724400"/>
          <a:ext cx="3771900" cy="2224637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</xdr:colOff>
      <xdr:row>27</xdr:row>
      <xdr:rowOff>45720</xdr:rowOff>
    </xdr:from>
    <xdr:to>
      <xdr:col>5</xdr:col>
      <xdr:colOff>59133</xdr:colOff>
      <xdr:row>40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" y="4646295"/>
          <a:ext cx="3844368" cy="217360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36194</xdr:colOff>
      <xdr:row>27</xdr:row>
      <xdr:rowOff>54581</xdr:rowOff>
    </xdr:from>
    <xdr:to>
      <xdr:col>4</xdr:col>
      <xdr:colOff>725805</xdr:colOff>
      <xdr:row>40</xdr:row>
      <xdr:rowOff>53858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4" y="4655156"/>
          <a:ext cx="3756661" cy="221860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8</xdr:col>
      <xdr:colOff>0</xdr:colOff>
      <xdr:row>3</xdr:row>
      <xdr:rowOff>168067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147B195B-380E-4AD1-A6E2-73AF8E2FA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6789" y="466725"/>
          <a:ext cx="1907311" cy="39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27</xdr:row>
      <xdr:rowOff>9525</xdr:rowOff>
    </xdr:from>
    <xdr:to>
      <xdr:col>5</xdr:col>
      <xdr:colOff>397538</xdr:colOff>
      <xdr:row>37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BC3A70-24BA-47EC-9AFB-920C7675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4610100"/>
          <a:ext cx="4068473" cy="168211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210285</xdr:colOff>
      <xdr:row>26</xdr:row>
      <xdr:rowOff>0</xdr:rowOff>
    </xdr:from>
    <xdr:to>
      <xdr:col>5</xdr:col>
      <xdr:colOff>0</xdr:colOff>
      <xdr:row>40</xdr:row>
      <xdr:rowOff>28552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5" y="4438650"/>
          <a:ext cx="3494940" cy="2362177"/>
        </a:xfrm>
        <a:prstGeom prst="rect">
          <a:avLst/>
        </a:prstGeom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8</xdr:col>
      <xdr:colOff>0</xdr:colOff>
      <xdr:row>3</xdr:row>
      <xdr:rowOff>171877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314225</xdr:colOff>
      <xdr:row>26</xdr:row>
      <xdr:rowOff>0</xdr:rowOff>
    </xdr:from>
    <xdr:to>
      <xdr:col>4</xdr:col>
      <xdr:colOff>704850</xdr:colOff>
      <xdr:row>40</xdr:row>
      <xdr:rowOff>28551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250" y="4514850"/>
          <a:ext cx="2800450" cy="2362176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</xdr:row>
      <xdr:rowOff>0</xdr:rowOff>
    </xdr:from>
    <xdr:to>
      <xdr:col>7</xdr:col>
      <xdr:colOff>575716</xdr:colOff>
      <xdr:row>3</xdr:row>
      <xdr:rowOff>171877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3850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501225</xdr:colOff>
      <xdr:row>34</xdr:row>
      <xdr:rowOff>0</xdr:rowOff>
    </xdr:from>
    <xdr:to>
      <xdr:col>4</xdr:col>
      <xdr:colOff>0</xdr:colOff>
      <xdr:row>44</xdr:row>
      <xdr:rowOff>57855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50" y="5715000"/>
          <a:ext cx="1908600" cy="1732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</xdr:colOff>
      <xdr:row>28</xdr:row>
      <xdr:rowOff>0</xdr:rowOff>
    </xdr:from>
    <xdr:to>
      <xdr:col>5</xdr:col>
      <xdr:colOff>0</xdr:colOff>
      <xdr:row>43</xdr:row>
      <xdr:rowOff>64770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785" y="4333875"/>
          <a:ext cx="3520440" cy="256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107296</xdr:colOff>
      <xdr:row>24</xdr:row>
      <xdr:rowOff>0</xdr:rowOff>
    </xdr:from>
    <xdr:to>
      <xdr:col>5</xdr:col>
      <xdr:colOff>0</xdr:colOff>
      <xdr:row>33</xdr:row>
      <xdr:rowOff>53673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96" y="4895850"/>
          <a:ext cx="3597929" cy="15681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514293</xdr:colOff>
      <xdr:row>31</xdr:row>
      <xdr:rowOff>20625</xdr:rowOff>
    </xdr:from>
    <xdr:to>
      <xdr:col>5</xdr:col>
      <xdr:colOff>0</xdr:colOff>
      <xdr:row>42</xdr:row>
      <xdr:rowOff>0</xdr:rowOff>
    </xdr:to>
    <xdr:pic>
      <xdr:nvPicPr>
        <xdr:cNvPr id="19647" name="Picture 4">
          <a:extLst>
            <a:ext uri="{FF2B5EF4-FFF2-40B4-BE49-F238E27FC236}">
              <a16:creationId xmlns:a16="http://schemas.microsoft.com/office/drawing/2014/main" id="{00000000-0008-0000-0500-0000BF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318" y="5830875"/>
          <a:ext cx="2609907" cy="182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107296</xdr:colOff>
      <xdr:row>24</xdr:row>
      <xdr:rowOff>0</xdr:rowOff>
    </xdr:from>
    <xdr:to>
      <xdr:col>5</xdr:col>
      <xdr:colOff>0</xdr:colOff>
      <xdr:row>33</xdr:row>
      <xdr:rowOff>44148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96" y="4895850"/>
          <a:ext cx="3597929" cy="15681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354038</xdr:colOff>
      <xdr:row>25</xdr:row>
      <xdr:rowOff>0</xdr:rowOff>
    </xdr:from>
    <xdr:to>
      <xdr:col>5</xdr:col>
      <xdr:colOff>0</xdr:colOff>
      <xdr:row>38</xdr:row>
      <xdr:rowOff>101625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63" y="5124450"/>
          <a:ext cx="2770162" cy="23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424200</xdr:colOff>
      <xdr:row>24</xdr:row>
      <xdr:rowOff>0</xdr:rowOff>
    </xdr:from>
    <xdr:to>
      <xdr:col>5</xdr:col>
      <xdr:colOff>0</xdr:colOff>
      <xdr:row>39</xdr:row>
      <xdr:rowOff>137775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25" y="4895850"/>
          <a:ext cx="2700000" cy="27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6689d069-6c94-4cf7-a0a1-7f6b86efa0bf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13c872c8-80e0-452f-8ace-810b59943f4b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13c872c8-80e0-452f-8ace-810b59943f4b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arriscraft.com/resources/file/3b36b805-7e50-4aa9-bb25-3dc3edf8e00d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www.arriscraft.com/pdfs/3-Unit_Citadel_15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arriscraft.com/resources/file/47c8b1b0-ec94-4c00-a0d3-d69c7a0c5ae5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arriscraft.com/resources/file/4b839045-c18f-4b44-bb0d-9acc6d6dacc4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arriscraft.com/resources/file/4b839045-c18f-4b44-bb0d-9acc6d6dacc4.pdf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8.xm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arriscraft.com/resources/file/cb911cb5-6a2e-4e4e-a0bc-7b874d76505b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arriscraft.com/resources/file/9a0c0e64-af5a-48d5-aa04-9133b91f51a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arriscraft.com/resources/file/c871052e-48d7-46ae-a5a0-70a303b485ad.pdf" TargetMode="External"/><Relationship Id="rId4" Type="http://schemas.openxmlformats.org/officeDocument/2006/relationships/hyperlink" Target="http://www.arriscraft.com/resources/file/0a46a21f-7cb7-418d-be42-5cdd72adad8f.pdf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0.xm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http://arriscraft.com/resources/file/a72fe71a-854a-4a3d-911a-39778cd17c35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1.x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s://arriscraft.com/resources/file/f345b04a-9fc1-4af6-9a68-d6854a9bd40e.pdf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2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s://arriscraft.com/resources/file/8c05a759-3874-4b89-9b52-c4c3196a683a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3.xm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://arriscraft.com/resources/file/ea864e3e-950a-4e4b-8b4f-9171ef0ab7bf.pdf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4.x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://arriscraft.com/resources/file/d8487905-affe-48fa-af4c-c84b0aa9d38a.pdf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5.xm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http://arriscraft.com/resources/file/b44f7901-2cf0-42be-8430-d55a7c3268a8.pdf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6.xm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http://arriscraft.com/resources/file/b44f7901-2cf0-42be-8430-d55a7c3268a8.pdf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7.xm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arriscraft.com/resources/file/98503b0d-19e5-400c-8006-cdef375e9b7b.pdf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hyperlink" Target="http://www.arriscraft.com/" TargetMode="External"/><Relationship Id="rId7" Type="http://schemas.openxmlformats.org/officeDocument/2006/relationships/hyperlink" Target="http://arriscraft.com/resources/file/3e9739ef-dfbb-4ba5-a5f3-dcd0a7a5e5c5.pdf" TargetMode="External"/><Relationship Id="rId2" Type="http://schemas.openxmlformats.org/officeDocument/2006/relationships/hyperlink" Target="http://arriscraft.com/resources/file/3e9739ef-dfbb-4ba5-a5f3-dcd0a7a5e5c5.pdf" TargetMode="External"/><Relationship Id="rId1" Type="http://schemas.openxmlformats.org/officeDocument/2006/relationships/hyperlink" Target="http://arriscraft.com/resources/file/56449d12-226c-447d-8316-1b4fb4344712.pdfhttp:/www.arriscraft.com/pdfs/UrbanLedgestone_15_Ashlar.pdf" TargetMode="External"/><Relationship Id="rId6" Type="http://schemas.openxmlformats.org/officeDocument/2006/relationships/hyperlink" Target="http://www.arriscraft.com/resources/file/56449d12-226c-447d-8316-1b4fb4344712.pdf" TargetMode="External"/><Relationship Id="rId5" Type="http://schemas.openxmlformats.org/officeDocument/2006/relationships/hyperlink" Target="http://arriscraft.com/resources/file/def8159b-da00-487f-91e2-424c78378183.pdf" TargetMode="External"/><Relationship Id="rId4" Type="http://schemas.openxmlformats.org/officeDocument/2006/relationships/hyperlink" Target="http://arriscraft.com/resources/file/ac5d2607-4cc4-4c69-b213-b2f3031e877e.pdf" TargetMode="External"/><Relationship Id="rId9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7" Type="http://schemas.openxmlformats.org/officeDocument/2006/relationships/drawing" Target="../drawings/drawing29.xml"/><Relationship Id="rId2" Type="http://schemas.openxmlformats.org/officeDocument/2006/relationships/hyperlink" Target="http://arriscraft.com/resources/file/176fe6cd-67d6-4957-8302-13478f59aaeb.pdf" TargetMode="External"/><Relationship Id="rId1" Type="http://schemas.openxmlformats.org/officeDocument/2006/relationships/hyperlink" Target="http://arriscraft.com/resources/file/69a0b5bf-7164-4966-9b34-00a5e8631651.pdf" TargetMode="External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://arriscraft.com/resources/file/def8159b-da00-487f-91e2-424c78378183.pdf" TargetMode="External"/><Relationship Id="rId4" Type="http://schemas.openxmlformats.org/officeDocument/2006/relationships/hyperlink" Target="http://arriscraft.com/resources/file/ac5d2607-4cc4-4c69-b213-b2f3031e877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arriscraft.com/resources/file/eb6261b5-1720-485d-ab7a-c0fffe5561d4.pdf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30.xm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arriscraft.com/resources/file/a72fe71a-854a-4a3d-911a-39778cd17c35.pdf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a72fe71a-854a-4a3d-911a-39778cd17c35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d8487905-affe-48fa-af4c-c84b0aa9d38a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47c8b1b0-ec94-4c00-a0d3-d69c7a0c5ae5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176fe6cd-67d6-4957-8302-13478f59aaeb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cb911cb5-6a2e-4e4e-a0bc-7b874d76505b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4b839045-c18f-4b44-bb0d-9acc6d6dacc4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6.xml"/><Relationship Id="rId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5d0d3eb8-1258-450d-8b7d-6d762694f771.pdf" TargetMode="External"/><Relationship Id="rId6" Type="http://schemas.openxmlformats.org/officeDocument/2006/relationships/drawing" Target="../drawings/drawing37.xm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5d0d3eb8-1258-450d-8b7d-6d762694f771.pdf" TargetMode="External"/><Relationship Id="rId6" Type="http://schemas.openxmlformats.org/officeDocument/2006/relationships/drawing" Target="../drawings/drawing38.xm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5d0d3eb8-1258-450d-8b7d-6d762694f771.pdf" TargetMode="External"/><Relationship Id="rId6" Type="http://schemas.openxmlformats.org/officeDocument/2006/relationships/drawing" Target="../drawings/drawing39.xml"/><Relationship Id="rId5" Type="http://schemas.openxmlformats.org/officeDocument/2006/relationships/printerSettings" Target="../printerSettings/printerSettings39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arriscraft.com/resources/file/47c8b1b0-ec94-4c00-a0d3-d69c7a0c5ae5.pdf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5d0d3eb8-1258-450d-8b7d-6d762694f771.pdf" TargetMode="External"/><Relationship Id="rId6" Type="http://schemas.openxmlformats.org/officeDocument/2006/relationships/drawing" Target="../drawings/drawing40.xm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5d0d3eb8-1258-450d-8b7d-6d762694f771.pdf" TargetMode="External"/><Relationship Id="rId6" Type="http://schemas.openxmlformats.org/officeDocument/2006/relationships/drawing" Target="../drawings/drawing41.xm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46cba3df-00d3-4346-86c7-f8fe4c94afc6.pdf" TargetMode="External"/><Relationship Id="rId6" Type="http://schemas.openxmlformats.org/officeDocument/2006/relationships/drawing" Target="../drawings/drawing42.xm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0aa2b0e4-22fb-4fb6-89d9-179d7257f2bd.pdf" TargetMode="External"/><Relationship Id="rId6" Type="http://schemas.openxmlformats.org/officeDocument/2006/relationships/drawing" Target="../drawings/drawing43.xm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7c6363a1-b779-412b-bf48-4202897a7e5a.pdf" TargetMode="External"/><Relationship Id="rId6" Type="http://schemas.openxmlformats.org/officeDocument/2006/relationships/drawing" Target="../drawings/drawing44.xm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b2131937-d7ae-4664-b132-0bc045e44dc4.pdf" TargetMode="External"/><Relationship Id="rId6" Type="http://schemas.openxmlformats.org/officeDocument/2006/relationships/drawing" Target="../drawings/drawing45.xm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6.xml"/><Relationship Id="rId4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7.xml"/><Relationship Id="rId4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13c872c8-80e0-452f-8ace-810b59943f4b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9.xm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arriscraft.com/resources/file/4bd8da09-fa15-4e6b-9c1c-34a5ccbfe4b0.pdf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://arriscraft.com/resources/file/44bd3405-854c-47d9-9fbe-2bf552a8c0bc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50.xml"/><Relationship Id="rId4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arriscraft.com/resources/file/44bd3405-854c-47d9-9fbe-2bf552a8c0bc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://arriscraft.com/resources/file/44bd3405-854c-47d9-9fbe-2bf552a8c0bc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54490b3e-156e-4543-ac78-51846a93fd46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6689d069-6c94-4cf7-a0a1-7f6b86efa0bf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D61"/>
  <sheetViews>
    <sheetView tabSelected="1" topLeftCell="B1" zoomScaleNormal="100" workbookViewId="0">
      <selection activeCell="B30" sqref="B30"/>
    </sheetView>
  </sheetViews>
  <sheetFormatPr defaultColWidth="9.109375" defaultRowHeight="13.2" x14ac:dyDescent="0.25"/>
  <cols>
    <col min="1" max="1" width="4.6640625" style="23" customWidth="1"/>
    <col min="2" max="2" width="16.6640625" style="321" customWidth="1"/>
    <col min="3" max="3" width="52.109375" style="23" customWidth="1"/>
    <col min="4" max="4" width="32.6640625" style="23" customWidth="1"/>
    <col min="5" max="16384" width="9.109375" style="23"/>
  </cols>
  <sheetData>
    <row r="1" spans="1:4" ht="24" customHeight="1" x14ac:dyDescent="0.25"/>
    <row r="2" spans="1:4" ht="57" customHeight="1" x14ac:dyDescent="0.25">
      <c r="B2" s="23"/>
      <c r="C2" s="272"/>
    </row>
    <row r="3" spans="1:4" ht="24" customHeight="1" x14ac:dyDescent="0.25">
      <c r="B3" s="482" t="s">
        <v>301</v>
      </c>
      <c r="C3" s="482"/>
      <c r="D3" s="482"/>
    </row>
    <row r="4" spans="1:4" s="22" customFormat="1" ht="18" customHeight="1" x14ac:dyDescent="0.25">
      <c r="B4" s="322" t="s">
        <v>15</v>
      </c>
      <c r="C4" s="480" t="s">
        <v>14</v>
      </c>
      <c r="D4" s="481"/>
    </row>
    <row r="5" spans="1:4" ht="12.75" customHeight="1" x14ac:dyDescent="0.25">
      <c r="A5" s="323"/>
      <c r="B5" s="166" t="s">
        <v>115</v>
      </c>
      <c r="C5" s="324" t="s">
        <v>120</v>
      </c>
      <c r="D5" s="483" t="s">
        <v>122</v>
      </c>
    </row>
    <row r="6" spans="1:4" ht="12.75" customHeight="1" x14ac:dyDescent="0.25">
      <c r="A6" s="325"/>
      <c r="B6" s="165" t="s">
        <v>116</v>
      </c>
      <c r="C6" s="326" t="s">
        <v>154</v>
      </c>
      <c r="D6" s="484"/>
    </row>
    <row r="7" spans="1:4" ht="12.75" customHeight="1" x14ac:dyDescent="0.25">
      <c r="A7" s="325"/>
      <c r="B7" s="167" t="s">
        <v>117</v>
      </c>
      <c r="C7" s="327" t="s">
        <v>155</v>
      </c>
      <c r="D7" s="484"/>
    </row>
    <row r="8" spans="1:4" ht="12.75" customHeight="1" x14ac:dyDescent="0.25">
      <c r="A8" s="325"/>
      <c r="B8" s="165" t="s">
        <v>119</v>
      </c>
      <c r="C8" s="326" t="s">
        <v>59</v>
      </c>
      <c r="D8" s="484"/>
    </row>
    <row r="9" spans="1:4" ht="12.75" customHeight="1" x14ac:dyDescent="0.25">
      <c r="A9" s="328"/>
      <c r="B9" s="168" t="s">
        <v>118</v>
      </c>
      <c r="C9" s="329" t="s">
        <v>121</v>
      </c>
      <c r="D9" s="485"/>
    </row>
    <row r="10" spans="1:4" ht="12.75" customHeight="1" x14ac:dyDescent="0.25">
      <c r="A10" s="330"/>
      <c r="B10" s="181" t="s">
        <v>123</v>
      </c>
      <c r="C10" s="331" t="s">
        <v>211</v>
      </c>
      <c r="D10" s="486" t="s">
        <v>128</v>
      </c>
    </row>
    <row r="11" spans="1:4" ht="12.75" customHeight="1" x14ac:dyDescent="0.25">
      <c r="A11" s="332"/>
      <c r="B11" s="182" t="s">
        <v>126</v>
      </c>
      <c r="C11" s="333" t="s">
        <v>127</v>
      </c>
      <c r="D11" s="487"/>
    </row>
    <row r="12" spans="1:4" ht="12.75" customHeight="1" x14ac:dyDescent="0.25">
      <c r="A12" s="332"/>
      <c r="B12" s="191" t="s">
        <v>124</v>
      </c>
      <c r="C12" s="334" t="s">
        <v>156</v>
      </c>
      <c r="D12" s="487"/>
    </row>
    <row r="13" spans="1:4" ht="12.75" customHeight="1" x14ac:dyDescent="0.25">
      <c r="A13" s="332"/>
      <c r="B13" s="182" t="s">
        <v>160</v>
      </c>
      <c r="C13" s="333" t="s">
        <v>157</v>
      </c>
      <c r="D13" s="487"/>
    </row>
    <row r="14" spans="1:4" ht="12.75" customHeight="1" x14ac:dyDescent="0.25">
      <c r="A14" s="332"/>
      <c r="B14" s="191" t="s">
        <v>125</v>
      </c>
      <c r="C14" s="334" t="s">
        <v>158</v>
      </c>
      <c r="D14" s="487"/>
    </row>
    <row r="15" spans="1:4" ht="12.75" customHeight="1" x14ac:dyDescent="0.25">
      <c r="A15" s="335"/>
      <c r="B15" s="193" t="s">
        <v>161</v>
      </c>
      <c r="C15" s="336" t="s">
        <v>159</v>
      </c>
      <c r="D15" s="488"/>
    </row>
    <row r="16" spans="1:4" ht="12.75" customHeight="1" x14ac:dyDescent="0.25">
      <c r="A16" s="337"/>
      <c r="B16" s="194" t="s">
        <v>129</v>
      </c>
      <c r="C16" s="338" t="s">
        <v>187</v>
      </c>
      <c r="D16" s="489" t="s">
        <v>142</v>
      </c>
    </row>
    <row r="17" spans="1:4" ht="12.75" customHeight="1" x14ac:dyDescent="0.25">
      <c r="A17" s="337"/>
      <c r="B17" s="191" t="s">
        <v>130</v>
      </c>
      <c r="C17" s="334" t="s">
        <v>186</v>
      </c>
      <c r="D17" s="489"/>
    </row>
    <row r="18" spans="1:4" ht="12.75" customHeight="1" x14ac:dyDescent="0.25">
      <c r="A18" s="337"/>
      <c r="B18" s="194" t="s">
        <v>131</v>
      </c>
      <c r="C18" s="338" t="s">
        <v>143</v>
      </c>
      <c r="D18" s="489"/>
    </row>
    <row r="19" spans="1:4" ht="12.75" customHeight="1" x14ac:dyDescent="0.25">
      <c r="A19" s="337"/>
      <c r="B19" s="191" t="s">
        <v>132</v>
      </c>
      <c r="C19" s="334" t="s">
        <v>144</v>
      </c>
      <c r="D19" s="489"/>
    </row>
    <row r="20" spans="1:4" ht="12.75" customHeight="1" x14ac:dyDescent="0.25">
      <c r="A20" s="337"/>
      <c r="B20" s="194" t="s">
        <v>138</v>
      </c>
      <c r="C20" s="338" t="s">
        <v>41</v>
      </c>
      <c r="D20" s="489"/>
    </row>
    <row r="21" spans="1:4" ht="12.75" hidden="1" customHeight="1" x14ac:dyDescent="0.25">
      <c r="A21" s="337"/>
      <c r="B21" s="191" t="s">
        <v>303</v>
      </c>
      <c r="C21" s="334" t="s">
        <v>304</v>
      </c>
      <c r="D21" s="489"/>
    </row>
    <row r="22" spans="1:4" ht="12.75" customHeight="1" x14ac:dyDescent="0.25">
      <c r="A22" s="337"/>
      <c r="B22" s="191" t="s">
        <v>139</v>
      </c>
      <c r="C22" s="334" t="s">
        <v>150</v>
      </c>
      <c r="D22" s="489"/>
    </row>
    <row r="23" spans="1:4" ht="12.75" customHeight="1" x14ac:dyDescent="0.25">
      <c r="A23" s="337"/>
      <c r="B23" s="194" t="s">
        <v>136</v>
      </c>
      <c r="C23" s="338" t="s">
        <v>148</v>
      </c>
      <c r="D23" s="489"/>
    </row>
    <row r="24" spans="1:4" ht="12.75" customHeight="1" x14ac:dyDescent="0.25">
      <c r="A24" s="337"/>
      <c r="B24" s="191" t="s">
        <v>137</v>
      </c>
      <c r="C24" s="334" t="s">
        <v>149</v>
      </c>
      <c r="D24" s="489"/>
    </row>
    <row r="25" spans="1:4" ht="12.75" customHeight="1" x14ac:dyDescent="0.25">
      <c r="A25" s="402"/>
      <c r="B25" s="194" t="s">
        <v>258</v>
      </c>
      <c r="C25" s="338" t="s">
        <v>260</v>
      </c>
      <c r="D25" s="490"/>
    </row>
    <row r="26" spans="1:4" ht="12.75" customHeight="1" x14ac:dyDescent="0.25">
      <c r="A26" s="402"/>
      <c r="B26" s="386" t="s">
        <v>259</v>
      </c>
      <c r="C26" s="460" t="s">
        <v>261</v>
      </c>
      <c r="D26" s="490"/>
    </row>
    <row r="27" spans="1:4" ht="12.75" customHeight="1" x14ac:dyDescent="0.25">
      <c r="A27" s="337"/>
      <c r="B27" s="194" t="s">
        <v>133</v>
      </c>
      <c r="C27" s="338" t="s">
        <v>145</v>
      </c>
      <c r="D27" s="489"/>
    </row>
    <row r="28" spans="1:4" ht="12.75" customHeight="1" x14ac:dyDescent="0.25">
      <c r="A28" s="337"/>
      <c r="B28" s="191" t="s">
        <v>134</v>
      </c>
      <c r="C28" s="334" t="s">
        <v>146</v>
      </c>
      <c r="D28" s="489"/>
    </row>
    <row r="29" spans="1:4" ht="12.75" customHeight="1" x14ac:dyDescent="0.25">
      <c r="A29" s="337"/>
      <c r="B29" s="194" t="s">
        <v>135</v>
      </c>
      <c r="C29" s="338" t="s">
        <v>147</v>
      </c>
      <c r="D29" s="489"/>
    </row>
    <row r="30" spans="1:4" ht="12.75" customHeight="1" x14ac:dyDescent="0.25">
      <c r="A30" s="563"/>
      <c r="B30" s="565" t="s">
        <v>331</v>
      </c>
      <c r="C30" s="566" t="s">
        <v>330</v>
      </c>
      <c r="D30" s="564"/>
    </row>
    <row r="31" spans="1:4" ht="12.75" customHeight="1" x14ac:dyDescent="0.25">
      <c r="A31" s="337"/>
      <c r="B31" s="194" t="s">
        <v>292</v>
      </c>
      <c r="C31" s="338" t="s">
        <v>293</v>
      </c>
      <c r="D31" s="489"/>
    </row>
    <row r="32" spans="1:4" ht="12.75" customHeight="1" x14ac:dyDescent="0.25">
      <c r="A32" s="337"/>
      <c r="B32" s="567" t="s">
        <v>140</v>
      </c>
      <c r="C32" s="566" t="s">
        <v>151</v>
      </c>
      <c r="D32" s="489"/>
    </row>
    <row r="33" spans="1:4" ht="12.75" customHeight="1" x14ac:dyDescent="0.25">
      <c r="A33" s="337"/>
      <c r="B33" s="568" t="s">
        <v>141</v>
      </c>
      <c r="C33" s="569" t="s">
        <v>152</v>
      </c>
      <c r="D33" s="491"/>
    </row>
    <row r="34" spans="1:4" ht="12.75" hidden="1" customHeight="1" x14ac:dyDescent="0.25">
      <c r="A34" s="337"/>
      <c r="B34" s="387" t="s">
        <v>224</v>
      </c>
      <c r="C34" s="388" t="s">
        <v>230</v>
      </c>
      <c r="D34" s="492" t="s">
        <v>236</v>
      </c>
    </row>
    <row r="35" spans="1:4" ht="12.75" hidden="1" customHeight="1" x14ac:dyDescent="0.25">
      <c r="A35" s="337"/>
      <c r="B35" s="389" t="s">
        <v>225</v>
      </c>
      <c r="C35" s="339" t="s">
        <v>231</v>
      </c>
      <c r="D35" s="492"/>
    </row>
    <row r="36" spans="1:4" ht="12.75" hidden="1" customHeight="1" x14ac:dyDescent="0.25">
      <c r="A36" s="337"/>
      <c r="B36" s="387" t="s">
        <v>226</v>
      </c>
      <c r="C36" s="388" t="s">
        <v>232</v>
      </c>
      <c r="D36" s="492"/>
    </row>
    <row r="37" spans="1:4" ht="12.75" hidden="1" customHeight="1" x14ac:dyDescent="0.25">
      <c r="A37" s="337"/>
      <c r="B37" s="386" t="s">
        <v>227</v>
      </c>
      <c r="C37" s="339" t="s">
        <v>233</v>
      </c>
      <c r="D37" s="492"/>
    </row>
    <row r="38" spans="1:4" ht="12.75" hidden="1" customHeight="1" x14ac:dyDescent="0.25">
      <c r="A38" s="337"/>
      <c r="B38" s="390" t="s">
        <v>228</v>
      </c>
      <c r="C38" s="388" t="s">
        <v>234</v>
      </c>
      <c r="D38" s="492"/>
    </row>
    <row r="39" spans="1:4" ht="12.75" hidden="1" customHeight="1" x14ac:dyDescent="0.25">
      <c r="A39" s="337"/>
      <c r="B39" s="389" t="s">
        <v>229</v>
      </c>
      <c r="C39" s="339" t="s">
        <v>235</v>
      </c>
      <c r="D39" s="493"/>
    </row>
    <row r="40" spans="1:4" ht="12.75" customHeight="1" x14ac:dyDescent="0.25">
      <c r="A40" s="476"/>
      <c r="B40" s="469" t="s">
        <v>311</v>
      </c>
      <c r="C40" s="465" t="s">
        <v>315</v>
      </c>
      <c r="D40" s="494" t="s">
        <v>242</v>
      </c>
    </row>
    <row r="41" spans="1:4" ht="12.75" customHeight="1" x14ac:dyDescent="0.25">
      <c r="A41" s="477"/>
      <c r="B41" s="462" t="s">
        <v>257</v>
      </c>
      <c r="C41" s="463" t="s">
        <v>241</v>
      </c>
      <c r="D41" s="494"/>
    </row>
    <row r="42" spans="1:4" ht="12.75" customHeight="1" x14ac:dyDescent="0.25">
      <c r="A42" s="477"/>
      <c r="B42" s="464" t="s">
        <v>312</v>
      </c>
      <c r="C42" s="428" t="s">
        <v>316</v>
      </c>
      <c r="D42" s="494"/>
    </row>
    <row r="43" spans="1:4" ht="12.75" customHeight="1" x14ac:dyDescent="0.25">
      <c r="A43" s="477"/>
      <c r="B43" s="462" t="s">
        <v>313</v>
      </c>
      <c r="C43" s="424" t="s">
        <v>317</v>
      </c>
      <c r="D43" s="494"/>
    </row>
    <row r="44" spans="1:4" ht="12.75" customHeight="1" x14ac:dyDescent="0.25">
      <c r="A44" s="477"/>
      <c r="B44" s="464" t="s">
        <v>314</v>
      </c>
      <c r="C44" s="428" t="s">
        <v>318</v>
      </c>
      <c r="D44" s="494"/>
    </row>
    <row r="45" spans="1:4" ht="12.75" customHeight="1" x14ac:dyDescent="0.25">
      <c r="A45" s="477"/>
      <c r="B45" s="423" t="s">
        <v>246</v>
      </c>
      <c r="C45" s="424" t="s">
        <v>250</v>
      </c>
      <c r="D45" s="494"/>
    </row>
    <row r="46" spans="1:4" ht="12.75" customHeight="1" x14ac:dyDescent="0.25">
      <c r="A46" s="478"/>
      <c r="B46" s="399" t="s">
        <v>246</v>
      </c>
      <c r="C46" s="428" t="s">
        <v>250</v>
      </c>
      <c r="D46" s="494"/>
    </row>
    <row r="47" spans="1:4" ht="12.75" customHeight="1" x14ac:dyDescent="0.25">
      <c r="A47" s="478"/>
      <c r="B47" s="423" t="s">
        <v>247</v>
      </c>
      <c r="C47" s="424" t="s">
        <v>251</v>
      </c>
      <c r="D47" s="494"/>
    </row>
    <row r="48" spans="1:4" ht="12.75" customHeight="1" x14ac:dyDescent="0.25">
      <c r="A48" s="478"/>
      <c r="B48" s="399" t="s">
        <v>248</v>
      </c>
      <c r="C48" s="400" t="s">
        <v>252</v>
      </c>
      <c r="D48" s="494"/>
    </row>
    <row r="49" spans="1:4" ht="12.75" customHeight="1" x14ac:dyDescent="0.25">
      <c r="A49" s="479"/>
      <c r="B49" s="425" t="s">
        <v>249</v>
      </c>
      <c r="C49" s="426" t="s">
        <v>253</v>
      </c>
      <c r="D49" s="495"/>
    </row>
    <row r="50" spans="1:4" ht="12.75" customHeight="1" x14ac:dyDescent="0.25">
      <c r="A50" s="473"/>
      <c r="B50" s="449" t="s">
        <v>286</v>
      </c>
      <c r="C50" s="450" t="s">
        <v>287</v>
      </c>
      <c r="D50" s="470" t="s">
        <v>153</v>
      </c>
    </row>
    <row r="51" spans="1:4" ht="12.75" customHeight="1" x14ac:dyDescent="0.25">
      <c r="A51" s="474"/>
      <c r="B51" s="427" t="s">
        <v>78</v>
      </c>
      <c r="C51" s="428" t="s">
        <v>77</v>
      </c>
      <c r="D51" s="471"/>
    </row>
    <row r="52" spans="1:4" ht="12.75" customHeight="1" x14ac:dyDescent="0.25">
      <c r="A52" s="475"/>
      <c r="B52" s="429" t="s">
        <v>79</v>
      </c>
      <c r="C52" s="401" t="s">
        <v>80</v>
      </c>
      <c r="D52" s="472"/>
    </row>
    <row r="53" spans="1:4" x14ac:dyDescent="0.25">
      <c r="C53" s="340" t="s">
        <v>212</v>
      </c>
      <c r="D53" s="341" t="s">
        <v>62</v>
      </c>
    </row>
    <row r="54" spans="1:4" x14ac:dyDescent="0.25">
      <c r="B54" s="342"/>
      <c r="C54" s="340" t="s">
        <v>239</v>
      </c>
      <c r="D54" s="23" t="s">
        <v>240</v>
      </c>
    </row>
    <row r="55" spans="1:4" x14ac:dyDescent="0.25">
      <c r="B55" s="343"/>
      <c r="C55" s="340" t="s">
        <v>256</v>
      </c>
      <c r="D55" s="341" t="s">
        <v>240</v>
      </c>
    </row>
    <row r="56" spans="1:4" x14ac:dyDescent="0.25">
      <c r="C56" s="340" t="s">
        <v>275</v>
      </c>
      <c r="D56" s="341" t="s">
        <v>240</v>
      </c>
    </row>
    <row r="57" spans="1:4" x14ac:dyDescent="0.25">
      <c r="C57" s="340" t="s">
        <v>284</v>
      </c>
      <c r="D57" s="341" t="s">
        <v>240</v>
      </c>
    </row>
    <row r="58" spans="1:4" x14ac:dyDescent="0.25">
      <c r="C58" s="340" t="s">
        <v>290</v>
      </c>
      <c r="D58" s="341" t="s">
        <v>240</v>
      </c>
    </row>
    <row r="59" spans="1:4" x14ac:dyDescent="0.25">
      <c r="C59" s="340" t="s">
        <v>291</v>
      </c>
      <c r="D59" s="341" t="s">
        <v>240</v>
      </c>
    </row>
    <row r="60" spans="1:4" x14ac:dyDescent="0.25">
      <c r="C60" s="340" t="s">
        <v>294</v>
      </c>
      <c r="D60" s="341" t="s">
        <v>240</v>
      </c>
    </row>
    <row r="61" spans="1:4" x14ac:dyDescent="0.25">
      <c r="C61" s="340" t="s">
        <v>319</v>
      </c>
      <c r="D61" s="341" t="s">
        <v>240</v>
      </c>
    </row>
  </sheetData>
  <sheetProtection algorithmName="SHA-512" hashValue="p3OuAnnTLEBNSU/CFEQnrWrGzNG0MC9WVW9pWOF80XdIW8vJwdwbnBvGJqmDaS6DZRf2/fNBYT/otJ1EvISeZw==" saltValue="7X8+Z6Z+Ciei2OjcFhfZ8w==" spinCount="100000" sheet="1" selectLockedCells="1"/>
  <mergeCells count="10">
    <mergeCell ref="D50:D52"/>
    <mergeCell ref="A50:A52"/>
    <mergeCell ref="A40:A49"/>
    <mergeCell ref="C4:D4"/>
    <mergeCell ref="B3:D3"/>
    <mergeCell ref="D5:D9"/>
    <mergeCell ref="D10:D15"/>
    <mergeCell ref="D16:D33"/>
    <mergeCell ref="D34:D39"/>
    <mergeCell ref="D40:D49"/>
  </mergeCells>
  <phoneticPr fontId="2" type="noConversion"/>
  <hyperlinks>
    <hyperlink ref="B5" location="'CU3'!A1" display="CU3" xr:uid="{00000000-0004-0000-0000-000000000000}"/>
    <hyperlink ref="B6" location="'GC3'!A1" display="GC3" xr:uid="{00000000-0004-0000-0000-000001000000}"/>
    <hyperlink ref="B7" location="'GC4'!A1" display="GC4" xr:uid="{00000000-0004-0000-0000-000002000000}"/>
    <hyperlink ref="B8" location="'MH2'!A1" display="MH2" xr:uid="{00000000-0004-0000-0000-000003000000}"/>
    <hyperlink ref="B18" location="'CD4'!A1" display="CD4" xr:uid="{00000000-0004-0000-0000-000004000000}"/>
    <hyperlink ref="B19" location="'CD5'!A1" display="CD5" xr:uid="{00000000-0004-0000-0000-000005000000}"/>
    <hyperlink ref="B10" location="'AS3'!A1" display="AS3" xr:uid="{00000000-0004-0000-0000-000007000000}"/>
    <hyperlink ref="B20" location="'ER2'!A1" display="ER2" xr:uid="{00000000-0004-0000-0000-000008000000}"/>
    <hyperlink ref="B22" location="'FR3'!A1" display="FR3" xr:uid="{00000000-0004-0000-0000-000009000000}"/>
    <hyperlink ref="B23" location="'LR3'!A1" display="LR3" xr:uid="{00000000-0004-0000-0000-00000A000000}"/>
    <hyperlink ref="B24" location="'LR4'!A1" display="LR4" xr:uid="{00000000-0004-0000-0000-00000B000000}"/>
    <hyperlink ref="B27" location="'SH2'!A1" display="SH2" xr:uid="{00000000-0004-0000-0000-00000C000000}"/>
    <hyperlink ref="B16" location="'CD3'!A1" display="CD3" xr:uid="{00000000-0004-0000-0000-00000D000000}"/>
    <hyperlink ref="B17" location="CD3b!A1" display="CD3b" xr:uid="{00000000-0004-0000-0000-00000E000000}"/>
    <hyperlink ref="B28" location="'SH3'!A1" display="SH3" xr:uid="{00000000-0004-0000-0000-00000F000000}"/>
    <hyperlink ref="B29" location="'SH4'!A1" display="SH4" xr:uid="{00000000-0004-0000-0000-000010000000}"/>
    <hyperlink ref="B32" location="UL3a!A1" display="UL3a" xr:uid="{00000000-0004-0000-0000-000011000000}"/>
    <hyperlink ref="B33" location="UL3c!A1" display="UL3c" xr:uid="{00000000-0004-0000-0000-000012000000}"/>
    <hyperlink ref="B9" location="'OC3'!A1" display="OC3" xr:uid="{00000000-0004-0000-0000-000013000000}"/>
    <hyperlink ref="B51" location="'CON31'!Print_Area" display="CON31" xr:uid="{00000000-0004-0000-0000-000014000000}"/>
    <hyperlink ref="B52" location="'TVB31'!Print_Area" display="TVB31" xr:uid="{00000000-0004-0000-0000-000015000000}"/>
    <hyperlink ref="B13" location="MID218j!A1" display="MID218j" xr:uid="{00000000-0004-0000-0000-000016000000}"/>
    <hyperlink ref="B15" location="MID358j!A1" display="MID358j" xr:uid="{00000000-0004-0000-0000-000017000000}"/>
    <hyperlink ref="B11" location="'COA3'!A1" display="COA3" xr:uid="{00000000-0004-0000-0000-000018000000}"/>
    <hyperlink ref="B12" location="'MID218'!A1" display="MID218" xr:uid="{00000000-0004-0000-0000-000019000000}"/>
    <hyperlink ref="B14" location="'MID358'!A1" display="MID358" xr:uid="{00000000-0004-0000-0000-00001A000000}"/>
    <hyperlink ref="B34" location="THIN_LR4!Print_Area" display="THIN_LR4!Print_Area" xr:uid="{00000000-0004-0000-0000-00001B000000}"/>
    <hyperlink ref="B35" location="'SH3'!Print_Area" display="'SH3'!Print_Area" xr:uid="{00000000-0004-0000-0000-00001C000000}"/>
    <hyperlink ref="B36" location="THIN_CD4!Print_Area" display="THIN_CD4!Print_Area" xr:uid="{00000000-0004-0000-0000-00001D000000}"/>
    <hyperlink ref="B37" location="THIN_UL3c!Print_Area" display="THIN_UL3c!Print_Area" xr:uid="{00000000-0004-0000-0000-00001E000000}"/>
    <hyperlink ref="B38" location="'THIN_FR3 '!Print_Area" display="'THIN_FR3 '!Print_Area" xr:uid="{00000000-0004-0000-0000-00001F000000}"/>
    <hyperlink ref="B39" location="'THIN_ER2 '!Print_Area" display="'THIN_ER2 '!Print_Area" xr:uid="{00000000-0004-0000-0000-000020000000}"/>
    <hyperlink ref="B46" location="AP3a!A1" display="AP3a" xr:uid="{00000000-0004-0000-0000-000022000000}"/>
    <hyperlink ref="B47" location="AP3c!A1" display="AP3c" xr:uid="{00000000-0004-0000-0000-000023000000}"/>
    <hyperlink ref="B48" location="'AST3a '!A1" display="AST3a" xr:uid="{00000000-0004-0000-0000-000024000000}"/>
    <hyperlink ref="B49" location="AST3c!A1" display="AST3c" xr:uid="{00000000-0004-0000-0000-000025000000}"/>
    <hyperlink ref="B25" location="'LR3'!A1" display="LR3" xr:uid="{E5A6304F-4D58-4D2C-A415-7B10831F053E}"/>
    <hyperlink ref="B31" location="'SH5'!Print_Area" display="SH5" xr:uid="{7017EA51-53CD-44DC-9A8B-96E9377D0F21}"/>
    <hyperlink ref="B41" location="'GB3'!Print_Area" display="GB3" xr:uid="{00000000-0004-0000-0000-000021000000}"/>
    <hyperlink ref="B45" location="AP3a!A1" display="AP3a" xr:uid="{500E4A36-2E89-4929-A3FD-69876C641648}"/>
    <hyperlink ref="B40" location="'GB2'!Print_Area" display="GB2" xr:uid="{72E21396-FBA7-4EFE-BCEE-65D491416448}"/>
    <hyperlink ref="B42" location="'GB4'!Print_Area" display="GB4" xr:uid="{DC9A1319-8ECC-424E-9AC5-4F464C5D2A6B}"/>
    <hyperlink ref="B43" location="GB4_start!Print_Area" display="GB4_START" xr:uid="{ED631834-86B7-446D-9E10-8A6671595D04}"/>
    <hyperlink ref="B44" location="'GB5'!Print_Area" display="GB5" xr:uid="{A253F929-25C1-4515-958A-4F293303BE90}"/>
    <hyperlink ref="B30" location="SH4b!A1" display="SHA4b" xr:uid="{3D87D1CC-D353-4BBF-8539-77AC2C869702}"/>
  </hyperlinks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theme="9"/>
    <pageSetUpPr autoPageBreaks="0"/>
  </sheetPr>
  <dimension ref="A1:H48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157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8" customHeight="1" x14ac:dyDescent="0.3">
      <c r="A7" s="22"/>
      <c r="B7" s="42"/>
      <c r="C7" s="43"/>
      <c r="D7" s="134" t="s">
        <v>172</v>
      </c>
      <c r="E7" s="198">
        <v>0.375</v>
      </c>
      <c r="F7" s="158"/>
      <c r="G7" s="2"/>
      <c r="H7" s="3"/>
    </row>
    <row r="8" spans="1:8" ht="12.75" customHeight="1" x14ac:dyDescent="0.25">
      <c r="A8" s="22"/>
      <c r="B8" s="522" t="s">
        <v>173</v>
      </c>
      <c r="C8" s="522"/>
      <c r="D8" s="522"/>
      <c r="E8" s="522"/>
      <c r="F8" s="522"/>
      <c r="G8" s="160"/>
      <c r="H8" s="160"/>
    </row>
    <row r="9" spans="1:8" ht="12.75" customHeight="1" x14ac:dyDescent="0.25">
      <c r="A9" s="22"/>
      <c r="B9" s="25"/>
      <c r="C9" s="25"/>
      <c r="D9" s="25"/>
      <c r="E9" s="22"/>
      <c r="F9" s="22"/>
      <c r="G9" s="160"/>
      <c r="H9" s="160"/>
    </row>
    <row r="10" spans="1:8" ht="18" customHeight="1" thickBot="1" x14ac:dyDescent="0.35">
      <c r="A10" s="22"/>
      <c r="B10" s="273" t="s">
        <v>99</v>
      </c>
      <c r="C10" s="274"/>
      <c r="D10" s="161"/>
      <c r="E10" s="506" t="s">
        <v>98</v>
      </c>
      <c r="F10" s="507"/>
      <c r="G10" s="174" t="s">
        <v>109</v>
      </c>
      <c r="H10" s="3"/>
    </row>
    <row r="11" spans="1:8" ht="18" customHeight="1" thickTop="1" x14ac:dyDescent="0.3">
      <c r="A11" s="22"/>
      <c r="B11" s="275" t="s">
        <v>100</v>
      </c>
      <c r="C11" s="276">
        <f>E5</f>
        <v>200</v>
      </c>
      <c r="D11" s="161"/>
      <c r="E11" s="508" t="s">
        <v>168</v>
      </c>
      <c r="F11" s="509"/>
      <c r="G11" s="175">
        <f>E6</f>
        <v>50</v>
      </c>
      <c r="H11" s="3"/>
    </row>
    <row r="12" spans="1:8" ht="18" hidden="1" customHeight="1" thickTop="1" thickBot="1" x14ac:dyDescent="0.35">
      <c r="A12" s="22"/>
      <c r="B12" s="277" t="s">
        <v>174</v>
      </c>
      <c r="C12" s="278">
        <v>0.375</v>
      </c>
      <c r="D12" s="161"/>
      <c r="E12" s="195"/>
      <c r="F12" s="196" t="s">
        <v>175</v>
      </c>
      <c r="G12" s="183">
        <f>60/2.125</f>
        <v>28.235294117647058</v>
      </c>
      <c r="H12" s="3"/>
    </row>
    <row r="13" spans="1:8" ht="18" hidden="1" customHeight="1" thickTop="1" x14ac:dyDescent="0.3">
      <c r="A13" s="22"/>
      <c r="B13" s="277" t="s">
        <v>176</v>
      </c>
      <c r="C13" s="278">
        <v>0.5</v>
      </c>
      <c r="D13" s="161"/>
      <c r="E13" s="195"/>
      <c r="F13" s="196"/>
      <c r="G13" s="183"/>
      <c r="H13" s="3"/>
    </row>
    <row r="14" spans="1:8" ht="18" hidden="1" customHeight="1" x14ac:dyDescent="0.3">
      <c r="A14" s="22"/>
      <c r="B14" s="279" t="s">
        <v>177</v>
      </c>
      <c r="C14" s="280">
        <f>(23.625*2.125)/144</f>
        <v>0.3486328125</v>
      </c>
      <c r="D14" s="161"/>
      <c r="E14" s="195"/>
      <c r="F14" s="196"/>
      <c r="G14" s="184"/>
      <c r="H14" s="3"/>
    </row>
    <row r="15" spans="1:8" ht="18" hidden="1" customHeight="1" x14ac:dyDescent="0.3">
      <c r="A15" s="22"/>
      <c r="B15" s="279" t="s">
        <v>67</v>
      </c>
      <c r="C15" s="280">
        <f>100/C14</f>
        <v>286.83473389355743</v>
      </c>
      <c r="D15" s="161"/>
      <c r="E15" s="195"/>
      <c r="F15" s="196"/>
      <c r="G15" s="184"/>
      <c r="H15" s="3"/>
    </row>
    <row r="16" spans="1:8" ht="18" hidden="1" customHeight="1" x14ac:dyDescent="0.3">
      <c r="A16" s="22"/>
      <c r="B16" s="279" t="s">
        <v>175</v>
      </c>
      <c r="C16" s="280">
        <f>5/C14</f>
        <v>14.341736694677872</v>
      </c>
      <c r="D16" s="161"/>
      <c r="E16" s="195"/>
      <c r="F16" s="196"/>
      <c r="G16" s="184"/>
      <c r="H16" s="3"/>
    </row>
    <row r="17" spans="1:8" ht="18" hidden="1" customHeight="1" x14ac:dyDescent="0.3">
      <c r="A17" s="22"/>
      <c r="B17" s="279" t="s">
        <v>178</v>
      </c>
      <c r="C17" s="280">
        <f>(24*2.5)/144</f>
        <v>0.41666666666666669</v>
      </c>
      <c r="D17" s="161"/>
      <c r="E17" s="195"/>
      <c r="F17" s="196"/>
      <c r="G17" s="184"/>
      <c r="H17" s="3"/>
    </row>
    <row r="18" spans="1:8" ht="18" hidden="1" customHeight="1" x14ac:dyDescent="0.3">
      <c r="A18" s="22"/>
      <c r="B18" s="279" t="s">
        <v>179</v>
      </c>
      <c r="C18" s="280">
        <f>(24.125*2.625)/144</f>
        <v>0.43977864583333331</v>
      </c>
      <c r="D18" s="161"/>
      <c r="E18" s="195"/>
      <c r="F18" s="196"/>
      <c r="G18" s="184"/>
      <c r="H18" s="3"/>
    </row>
    <row r="19" spans="1:8" ht="18" customHeight="1" x14ac:dyDescent="0.25">
      <c r="A19" s="22"/>
      <c r="B19" s="279" t="s">
        <v>111</v>
      </c>
      <c r="C19" s="281">
        <f>IF(E7=0.375,(C15*C17),(C15*C18))</f>
        <v>119.51447245564893</v>
      </c>
      <c r="D19" s="161"/>
      <c r="E19" s="185"/>
      <c r="F19" s="186" t="s">
        <v>108</v>
      </c>
      <c r="G19" s="187">
        <f>IF(E7=0.375,(G12*2.5/12),(G12*2.625/12))</f>
        <v>5.882352941176471</v>
      </c>
      <c r="H19" s="162"/>
    </row>
    <row r="20" spans="1:8" ht="18" customHeight="1" thickBot="1" x14ac:dyDescent="0.3">
      <c r="A20" s="22"/>
      <c r="B20" s="279" t="s">
        <v>110</v>
      </c>
      <c r="C20" s="282">
        <f>IF(E7=0.375,(C16*C17),(C16*C18))</f>
        <v>5.9757236227824464</v>
      </c>
      <c r="D20" s="161"/>
      <c r="E20" s="188"/>
      <c r="F20" s="189"/>
      <c r="G20" s="190"/>
      <c r="H20" s="162"/>
    </row>
    <row r="21" spans="1:8" ht="18" customHeight="1" thickTop="1" thickBot="1" x14ac:dyDescent="0.3">
      <c r="A21" s="22"/>
      <c r="B21" s="283" t="s">
        <v>68</v>
      </c>
      <c r="C21" s="284">
        <f>IF(MOD(C11,C19)&lt;=(C19*0.65),ROUNDDOWN(+E5/C19,0),ROUNDUP(+E5/C19,0))</f>
        <v>2</v>
      </c>
      <c r="D21" s="161"/>
      <c r="E21" s="516" t="s">
        <v>107</v>
      </c>
      <c r="F21" s="517"/>
      <c r="G21" s="284">
        <f>ROUNDUP(E6/G19,0)</f>
        <v>9</v>
      </c>
      <c r="H21" s="162"/>
    </row>
    <row r="22" spans="1:8" ht="18" customHeight="1" thickTop="1" x14ac:dyDescent="0.25">
      <c r="A22" s="22"/>
      <c r="B22" s="285" t="s">
        <v>112</v>
      </c>
      <c r="C22" s="284">
        <f>IF(ROUNDUP((C11-(C19*C21)),0)&lt;0,0,ROUNDUP((C11-(C19*C21))/C20,0))</f>
        <v>0</v>
      </c>
      <c r="D22" s="161"/>
      <c r="E22" s="518" t="s">
        <v>75</v>
      </c>
      <c r="F22" s="518"/>
      <c r="G22" s="286">
        <v>52</v>
      </c>
    </row>
    <row r="23" spans="1:8" ht="12.75" customHeight="1" x14ac:dyDescent="0.25">
      <c r="A23" s="22"/>
      <c r="B23" s="287" t="s">
        <v>70</v>
      </c>
      <c r="C23" s="78">
        <v>1670</v>
      </c>
      <c r="D23" s="161"/>
    </row>
    <row r="24" spans="1:8" ht="12.75" customHeight="1" x14ac:dyDescent="0.25">
      <c r="A24" s="22"/>
      <c r="B24" s="217" t="s">
        <v>113</v>
      </c>
      <c r="C24" s="157">
        <v>83</v>
      </c>
      <c r="D24" s="161"/>
      <c r="E24" s="161"/>
      <c r="F24" s="161"/>
      <c r="G24" s="161"/>
    </row>
    <row r="25" spans="1:8" ht="12.75" customHeight="1" x14ac:dyDescent="0.25">
      <c r="A25" s="22"/>
      <c r="B25" s="217"/>
      <c r="C25" s="157"/>
      <c r="D25" s="161"/>
      <c r="E25" s="161"/>
      <c r="F25" s="161"/>
      <c r="G25" s="161"/>
    </row>
    <row r="26" spans="1:8" ht="18" customHeight="1" x14ac:dyDescent="0.25">
      <c r="A26" s="176"/>
      <c r="B26" s="176"/>
      <c r="C26" s="177" t="s">
        <v>114</v>
      </c>
      <c r="D26" s="178">
        <f>(C21*C19)+(C22*C20)</f>
        <v>239.02894491129786</v>
      </c>
      <c r="E26" s="179" t="s">
        <v>170</v>
      </c>
      <c r="F26" s="176"/>
      <c r="G26" s="176"/>
      <c r="H26" s="176"/>
    </row>
    <row r="27" spans="1:8" s="11" customFormat="1" ht="18" customHeight="1" x14ac:dyDescent="0.25">
      <c r="A27" s="176"/>
      <c r="B27" s="176"/>
      <c r="C27" s="177" t="s">
        <v>101</v>
      </c>
      <c r="D27" s="178">
        <f>(C21*C23)+(C22*C24)</f>
        <v>3340</v>
      </c>
      <c r="E27" s="179" t="s">
        <v>3</v>
      </c>
      <c r="F27" s="176"/>
      <c r="G27" s="176"/>
      <c r="H27" s="176"/>
    </row>
    <row r="28" spans="1:8" s="11" customFormat="1" ht="18" customHeight="1" x14ac:dyDescent="0.3">
      <c r="A28" s="288"/>
      <c r="B28" s="288"/>
      <c r="C28" s="289" t="s">
        <v>97</v>
      </c>
      <c r="D28" s="290">
        <f>G19*G21</f>
        <v>52.941176470588239</v>
      </c>
      <c r="E28" s="291" t="s">
        <v>171</v>
      </c>
      <c r="F28" s="292"/>
      <c r="G28" s="288"/>
      <c r="H28" s="293"/>
    </row>
    <row r="29" spans="1:8" s="11" customFormat="1" ht="18" customHeight="1" x14ac:dyDescent="0.3">
      <c r="A29" s="288"/>
      <c r="B29" s="288"/>
      <c r="C29" s="289" t="s">
        <v>102</v>
      </c>
      <c r="D29" s="290">
        <f>G21*G22</f>
        <v>468</v>
      </c>
      <c r="E29" s="291" t="s">
        <v>3</v>
      </c>
      <c r="F29" s="292"/>
      <c r="G29" s="288"/>
      <c r="H29" s="293"/>
    </row>
    <row r="30" spans="1:8" s="11" customFormat="1" ht="18" customHeight="1" x14ac:dyDescent="0.25">
      <c r="A30" s="39"/>
      <c r="B30" s="39"/>
      <c r="C30" s="69" t="s">
        <v>94</v>
      </c>
      <c r="D30" s="70">
        <f>ROUND(+D26/25,0)</f>
        <v>10</v>
      </c>
      <c r="E30" s="294" t="s">
        <v>169</v>
      </c>
      <c r="F30" s="40"/>
      <c r="G30" s="39"/>
      <c r="H30" s="35"/>
    </row>
    <row r="31" spans="1:8" s="11" customFormat="1" ht="18" customHeight="1" x14ac:dyDescent="0.25">
      <c r="A31" s="39"/>
      <c r="B31" s="295"/>
      <c r="C31" s="69" t="s">
        <v>94</v>
      </c>
      <c r="D31" s="70">
        <f>IF(E7=0.375,ROUND(+D26/60,0),ROUND(+D26/45,0))</f>
        <v>4</v>
      </c>
      <c r="E31" s="294" t="s">
        <v>180</v>
      </c>
      <c r="F31" s="40"/>
      <c r="G31" s="39"/>
      <c r="H31" s="35"/>
    </row>
    <row r="32" spans="1:8" s="11" customFormat="1" x14ac:dyDescent="0.25">
      <c r="A32" s="39"/>
      <c r="B32" s="521" t="s">
        <v>8</v>
      </c>
      <c r="C32" s="521"/>
      <c r="D32" s="521"/>
      <c r="E32" s="521"/>
      <c r="F32" s="521"/>
      <c r="G32" s="521"/>
      <c r="H32" s="35"/>
    </row>
    <row r="33" spans="1:8" s="11" customFormat="1" ht="18" customHeight="1" x14ac:dyDescent="0.25">
      <c r="A33" s="176"/>
      <c r="B33" s="176"/>
      <c r="C33" s="177" t="s">
        <v>96</v>
      </c>
      <c r="D33" s="178">
        <f>SUM(D27+D29)</f>
        <v>3808</v>
      </c>
      <c r="E33" s="179" t="s">
        <v>3</v>
      </c>
      <c r="F33" s="176"/>
      <c r="G33" s="176"/>
      <c r="H33" s="180"/>
    </row>
    <row r="34" spans="1:8" s="11" customFormat="1" ht="12.75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s="11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s="11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s="11" customFormat="1" ht="17.399999999999999" x14ac:dyDescent="0.25">
      <c r="A37" s="23"/>
      <c r="B37" s="23"/>
      <c r="C37" s="23"/>
      <c r="D37" s="23"/>
      <c r="E37" s="23"/>
      <c r="F37" s="23"/>
      <c r="G37" s="23"/>
      <c r="H37" s="223" t="s">
        <v>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11" customFormat="1" ht="12.75" customHeight="1" x14ac:dyDescent="0.25">
      <c r="A39" s="13"/>
      <c r="B39" s="13"/>
      <c r="C39" s="13"/>
      <c r="D39" s="13"/>
      <c r="F39" s="13"/>
      <c r="G39" s="13"/>
      <c r="H39" s="224" t="s">
        <v>55</v>
      </c>
    </row>
    <row r="40" spans="1:8" ht="12.75" customHeight="1" x14ac:dyDescent="0.25">
      <c r="A40" s="13"/>
      <c r="B40" s="13"/>
      <c r="C40" s="13"/>
      <c r="D40" s="13"/>
      <c r="E40" s="13"/>
      <c r="F40" s="13"/>
      <c r="G40" s="13"/>
      <c r="H40" s="199" t="s">
        <v>54</v>
      </c>
    </row>
    <row r="41" spans="1:8" ht="12.75" customHeight="1" x14ac:dyDescent="0.25">
      <c r="A41" s="13"/>
      <c r="B41" s="13"/>
      <c r="C41" s="13"/>
      <c r="D41" s="13"/>
      <c r="E41" s="13"/>
      <c r="F41" s="13"/>
      <c r="G41" s="13"/>
      <c r="H41" s="246"/>
    </row>
    <row r="42" spans="1:8" ht="12.75" customHeight="1" x14ac:dyDescent="0.25">
      <c r="A42" s="13"/>
      <c r="B42" s="13"/>
      <c r="C42" s="13"/>
      <c r="D42" s="13"/>
      <c r="E42" s="13"/>
      <c r="F42" s="13"/>
      <c r="G42" s="13"/>
      <c r="H42" s="199" t="s">
        <v>56</v>
      </c>
    </row>
    <row r="43" spans="1:8" ht="12.75" customHeight="1" x14ac:dyDescent="0.25">
      <c r="A43" s="13"/>
      <c r="B43" s="13"/>
      <c r="C43" s="13"/>
      <c r="D43" s="13"/>
      <c r="E43" s="13"/>
      <c r="F43" s="13"/>
      <c r="G43" s="11"/>
      <c r="H43" s="199" t="s">
        <v>10</v>
      </c>
    </row>
    <row r="44" spans="1:8" ht="12.75" customHeight="1" x14ac:dyDescent="0.25">
      <c r="A44" s="13"/>
      <c r="B44" s="13"/>
      <c r="C44" s="13"/>
      <c r="D44" s="13"/>
      <c r="E44" s="13"/>
      <c r="F44" s="13"/>
      <c r="G44" s="11"/>
      <c r="H44" s="225" t="s">
        <v>7</v>
      </c>
    </row>
    <row r="45" spans="1:8" ht="12.75" customHeight="1" x14ac:dyDescent="0.25">
      <c r="A45" s="13"/>
      <c r="B45" s="13"/>
      <c r="C45" s="13"/>
      <c r="D45" s="13"/>
      <c r="E45" s="13"/>
      <c r="F45" s="13"/>
      <c r="G45" s="11"/>
      <c r="H45" s="225"/>
    </row>
    <row r="46" spans="1:8" ht="21" customHeight="1" x14ac:dyDescent="0.3">
      <c r="B46" s="15" t="s">
        <v>16</v>
      </c>
      <c r="C46" s="519"/>
      <c r="D46" s="519"/>
      <c r="E46" s="519"/>
      <c r="F46" s="519"/>
      <c r="G46" s="519"/>
      <c r="H46" s="519"/>
    </row>
    <row r="47" spans="1:8" ht="21" customHeight="1" x14ac:dyDescent="0.25">
      <c r="B47" s="13"/>
      <c r="C47" s="520"/>
      <c r="D47" s="520"/>
      <c r="E47" s="520"/>
      <c r="F47" s="520"/>
      <c r="G47" s="520"/>
      <c r="H47" s="520"/>
    </row>
    <row r="48" spans="1:8" ht="21" customHeight="1" x14ac:dyDescent="0.25">
      <c r="C48" s="520"/>
      <c r="D48" s="520"/>
      <c r="E48" s="520"/>
      <c r="F48" s="520"/>
      <c r="G48" s="520"/>
      <c r="H48" s="520"/>
    </row>
  </sheetData>
  <sheetProtection algorithmName="SHA-512" hashValue="QKBvq6ENwHzpFYLr5durIvaYA9Cmqvj7A1X2vlsrLYsFFr9nqjb8y0k1snXTTSt2gkjHvZzPHGJFZwfw4mDFrg==" saltValue="jfJ5WJ4E4NgCsjJ8KS4BjA==" spinCount="100000" sheet="1" selectLockedCells="1"/>
  <mergeCells count="10">
    <mergeCell ref="A1:H1"/>
    <mergeCell ref="B32:G32"/>
    <mergeCell ref="C46:H46"/>
    <mergeCell ref="C47:H47"/>
    <mergeCell ref="C48:H48"/>
    <mergeCell ref="B8:F8"/>
    <mergeCell ref="E10:F10"/>
    <mergeCell ref="E11:F11"/>
    <mergeCell ref="E21:F21"/>
    <mergeCell ref="E22:F22"/>
  </mergeCells>
  <dataValidations count="3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9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900-000001000000}">
      <formula1>0</formula1>
      <formula2>100</formula2>
    </dataValidation>
    <dataValidation type="list" allowBlank="1" showInputMessage="1" showErrorMessage="1" sqref="E7" xr:uid="{00000000-0002-0000-0900-000002000000}">
      <formula1>$C$12:$C$13</formula1>
    </dataValidation>
  </dataValidations>
  <hyperlinks>
    <hyperlink ref="H43" r:id="rId1" xr:uid="{00000000-0004-0000-0900-000000000000}"/>
    <hyperlink ref="H40" r:id="rId2" xr:uid="{00000000-0004-0000-0900-000001000000}"/>
    <hyperlink ref="H42" r:id="rId3" xr:uid="{00000000-0004-0000-09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theme="9"/>
    <pageSetUpPr autoPageBreaks="0"/>
  </sheetPr>
  <dimension ref="A1:H43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158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273" t="s">
        <v>99</v>
      </c>
      <c r="C8" s="274"/>
      <c r="D8" s="161"/>
      <c r="E8" s="506" t="s">
        <v>98</v>
      </c>
      <c r="F8" s="507"/>
      <c r="G8" s="174" t="s">
        <v>109</v>
      </c>
      <c r="H8" s="3"/>
    </row>
    <row r="9" spans="1:8" ht="12.75" customHeight="1" thickTop="1" x14ac:dyDescent="0.3">
      <c r="A9" s="22"/>
      <c r="B9" s="275" t="s">
        <v>100</v>
      </c>
      <c r="C9" s="276">
        <f>E5</f>
        <v>200</v>
      </c>
      <c r="D9" s="161"/>
      <c r="E9" s="508" t="s">
        <v>168</v>
      </c>
      <c r="F9" s="509"/>
      <c r="G9" s="175">
        <f>E6</f>
        <v>50</v>
      </c>
      <c r="H9" s="3"/>
    </row>
    <row r="10" spans="1:8" ht="12.75" customHeight="1" x14ac:dyDescent="0.25">
      <c r="A10" s="22"/>
      <c r="B10" s="279" t="s">
        <v>111</v>
      </c>
      <c r="C10" s="296">
        <v>100</v>
      </c>
      <c r="D10" s="161"/>
      <c r="E10" s="510" t="s">
        <v>108</v>
      </c>
      <c r="F10" s="511"/>
      <c r="G10" s="514">
        <v>5</v>
      </c>
      <c r="H10" s="162"/>
    </row>
    <row r="11" spans="1:8" ht="12.75" customHeight="1" thickBot="1" x14ac:dyDescent="0.3">
      <c r="A11" s="22"/>
      <c r="B11" s="279" t="s">
        <v>110</v>
      </c>
      <c r="C11" s="297">
        <v>5</v>
      </c>
      <c r="D11" s="161"/>
      <c r="E11" s="512"/>
      <c r="F11" s="513"/>
      <c r="G11" s="515"/>
      <c r="H11" s="162"/>
    </row>
    <row r="12" spans="1:8" ht="18" customHeight="1" thickTop="1" thickBot="1" x14ac:dyDescent="0.3">
      <c r="A12" s="22"/>
      <c r="B12" s="283" t="s">
        <v>68</v>
      </c>
      <c r="C12" s="284">
        <f>IF(MOD(C9,C10)&lt;=65,ROUNDDOWN(+E5/C10,0),ROUNDUP(+E5/C10,0))</f>
        <v>2</v>
      </c>
      <c r="D12" s="161"/>
      <c r="E12" s="516" t="s">
        <v>107</v>
      </c>
      <c r="F12" s="517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112</v>
      </c>
      <c r="C13" s="284">
        <f>IF(ROUNDUP((C9-(C10*C12)),0)&lt;0,0,ROUNDUP((C9-(C10*C12))/C11,0))</f>
        <v>0</v>
      </c>
      <c r="D13" s="161"/>
      <c r="E13" s="518" t="s">
        <v>75</v>
      </c>
      <c r="F13" s="518"/>
      <c r="G13" s="286">
        <v>48</v>
      </c>
    </row>
    <row r="14" spans="1:8" ht="12.75" customHeight="1" x14ac:dyDescent="0.25">
      <c r="A14" s="22"/>
      <c r="B14" s="287" t="s">
        <v>70</v>
      </c>
      <c r="C14" s="78">
        <v>1510</v>
      </c>
      <c r="D14" s="161"/>
    </row>
    <row r="15" spans="1:8" ht="12.75" customHeight="1" x14ac:dyDescent="0.25">
      <c r="A15" s="22"/>
      <c r="B15" s="217" t="s">
        <v>113</v>
      </c>
      <c r="C15" s="157">
        <v>75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8" ht="18" customHeight="1" x14ac:dyDescent="0.25">
      <c r="A17" s="176"/>
      <c r="B17" s="176"/>
      <c r="C17" s="177" t="s">
        <v>114</v>
      </c>
      <c r="D17" s="178">
        <f>(C12*C10)+(C13*C11)</f>
        <v>200</v>
      </c>
      <c r="E17" s="179" t="s">
        <v>181</v>
      </c>
      <c r="F17" s="176"/>
      <c r="G17" s="176"/>
      <c r="H17" s="176"/>
    </row>
    <row r="18" spans="1:8" s="11" customFormat="1" ht="18" customHeight="1" x14ac:dyDescent="0.25">
      <c r="A18" s="176"/>
      <c r="B18" s="176"/>
      <c r="C18" s="177" t="s">
        <v>101</v>
      </c>
      <c r="D18" s="178">
        <f>(C12*C14)+(C13*C15)</f>
        <v>3020</v>
      </c>
      <c r="E18" s="179" t="s">
        <v>3</v>
      </c>
      <c r="F18" s="176"/>
      <c r="G18" s="176"/>
      <c r="H18" s="176"/>
    </row>
    <row r="19" spans="1:8" s="11" customFormat="1" ht="18" customHeight="1" x14ac:dyDescent="0.3">
      <c r="A19" s="288"/>
      <c r="B19" s="288"/>
      <c r="C19" s="289" t="s">
        <v>97</v>
      </c>
      <c r="D19" s="290">
        <f>G10*G12</f>
        <v>50</v>
      </c>
      <c r="E19" s="291" t="s">
        <v>182</v>
      </c>
      <c r="F19" s="292"/>
      <c r="G19" s="288"/>
      <c r="H19" s="293"/>
    </row>
    <row r="20" spans="1:8" s="11" customFormat="1" ht="18" customHeight="1" x14ac:dyDescent="0.3">
      <c r="A20" s="288"/>
      <c r="B20" s="288"/>
      <c r="C20" s="289" t="s">
        <v>102</v>
      </c>
      <c r="D20" s="290">
        <f>G12*G13</f>
        <v>480</v>
      </c>
      <c r="E20" s="291" t="s">
        <v>3</v>
      </c>
      <c r="F20" s="292"/>
      <c r="G20" s="288"/>
      <c r="H20" s="293"/>
    </row>
    <row r="21" spans="1:8" s="11" customFormat="1" ht="18" customHeight="1" x14ac:dyDescent="0.25">
      <c r="A21" s="39"/>
      <c r="B21" s="39"/>
      <c r="C21" s="69" t="s">
        <v>94</v>
      </c>
      <c r="D21" s="70">
        <f>ROUND(+D17/25,0)</f>
        <v>8</v>
      </c>
      <c r="E21" s="294" t="s">
        <v>169</v>
      </c>
      <c r="F21" s="40"/>
      <c r="G21" s="39"/>
      <c r="H21" s="35"/>
    </row>
    <row r="22" spans="1:8" s="11" customFormat="1" x14ac:dyDescent="0.25">
      <c r="A22" s="39"/>
      <c r="B22" s="521" t="s">
        <v>8</v>
      </c>
      <c r="C22" s="521"/>
      <c r="D22" s="521"/>
      <c r="E22" s="521"/>
      <c r="F22" s="521"/>
      <c r="G22" s="521"/>
      <c r="H22" s="35"/>
    </row>
    <row r="23" spans="1:8" s="11" customFormat="1" ht="18" customHeight="1" x14ac:dyDescent="0.25">
      <c r="A23" s="176"/>
      <c r="B23" s="176"/>
      <c r="C23" s="177" t="s">
        <v>96</v>
      </c>
      <c r="D23" s="178">
        <f>SUM(D18+D20)</f>
        <v>3500</v>
      </c>
      <c r="E23" s="179" t="s">
        <v>3</v>
      </c>
      <c r="F23" s="176"/>
      <c r="G23" s="176"/>
      <c r="H23" s="180"/>
    </row>
    <row r="24" spans="1:8" s="11" customFormat="1" ht="12.75" customHeight="1" x14ac:dyDescent="0.25">
      <c r="A24" s="23"/>
      <c r="B24" s="23"/>
      <c r="C24" s="23"/>
      <c r="D24" s="23"/>
      <c r="E24" s="23"/>
      <c r="F24" s="23"/>
      <c r="G24" s="23"/>
      <c r="H24" s="23"/>
    </row>
    <row r="25" spans="1:8" s="11" customFormat="1" ht="12.75" customHeight="1" x14ac:dyDescent="0.25">
      <c r="A25" s="23"/>
      <c r="B25" s="23"/>
      <c r="C25" s="23"/>
      <c r="D25" s="23"/>
      <c r="E25" s="23"/>
      <c r="F25" s="23"/>
      <c r="G25" s="23"/>
      <c r="H25" s="23"/>
    </row>
    <row r="26" spans="1:8" s="11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</row>
    <row r="27" spans="1:8" s="11" customFormat="1" ht="17.399999999999999" x14ac:dyDescent="0.25">
      <c r="A27" s="23"/>
      <c r="B27" s="23"/>
      <c r="C27" s="23"/>
      <c r="D27" s="23"/>
      <c r="E27" s="23"/>
      <c r="F27" s="23"/>
      <c r="G27" s="23"/>
      <c r="H27" s="223" t="s">
        <v>9</v>
      </c>
    </row>
    <row r="28" spans="1:8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8" s="11" customFormat="1" ht="12.75" customHeight="1" x14ac:dyDescent="0.25">
      <c r="A29" s="13"/>
      <c r="B29" s="13"/>
      <c r="C29" s="13"/>
      <c r="D29" s="13"/>
      <c r="F29" s="13"/>
      <c r="G29" s="13"/>
      <c r="H29" s="224" t="s">
        <v>55</v>
      </c>
    </row>
    <row r="30" spans="1:8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54</v>
      </c>
    </row>
    <row r="31" spans="1:8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8" ht="12.75" customHeight="1" x14ac:dyDescent="0.25">
      <c r="A32" s="13"/>
      <c r="B32" s="13"/>
      <c r="C32" s="13"/>
      <c r="D32" s="13"/>
      <c r="E32" s="13"/>
      <c r="F32" s="13"/>
      <c r="G32" s="13"/>
      <c r="H32" s="199" t="s">
        <v>56</v>
      </c>
    </row>
    <row r="33" spans="1:8" ht="12.75" customHeight="1" x14ac:dyDescent="0.25">
      <c r="A33" s="13"/>
      <c r="B33" s="13"/>
      <c r="C33" s="13"/>
      <c r="D33" s="13"/>
      <c r="E33" s="13"/>
      <c r="F33" s="13"/>
      <c r="G33" s="11"/>
      <c r="H33" s="199" t="s">
        <v>10</v>
      </c>
    </row>
    <row r="34" spans="1:8" ht="12.75" customHeight="1" x14ac:dyDescent="0.25">
      <c r="A34" s="13"/>
      <c r="B34" s="13"/>
      <c r="C34" s="13"/>
      <c r="D34" s="13"/>
      <c r="E34" s="13"/>
      <c r="F34" s="13"/>
      <c r="G34" s="11"/>
      <c r="H34" s="225" t="s">
        <v>7</v>
      </c>
    </row>
    <row r="35" spans="1:8" ht="12.75" customHeight="1" x14ac:dyDescent="0.25">
      <c r="A35" s="13"/>
      <c r="B35" s="13"/>
      <c r="C35" s="13"/>
      <c r="D35" s="13"/>
      <c r="E35" s="13"/>
      <c r="F35" s="13"/>
      <c r="G35" s="11"/>
      <c r="H35" s="225"/>
    </row>
    <row r="36" spans="1:8" ht="12.75" customHeight="1" x14ac:dyDescent="0.25">
      <c r="A36" s="13"/>
      <c r="B36" s="13"/>
      <c r="C36" s="13"/>
      <c r="D36" s="13"/>
      <c r="E36" s="13"/>
      <c r="F36" s="13"/>
      <c r="G36" s="11"/>
      <c r="H36" s="225"/>
    </row>
    <row r="37" spans="1:8" ht="12.75" customHeight="1" x14ac:dyDescent="0.25">
      <c r="A37" s="13"/>
      <c r="B37" s="13"/>
      <c r="C37" s="13"/>
      <c r="D37" s="13"/>
      <c r="E37" s="13"/>
      <c r="F37" s="13"/>
      <c r="G37" s="11"/>
      <c r="H37" s="225"/>
    </row>
    <row r="38" spans="1:8" ht="12.75" customHeight="1" x14ac:dyDescent="0.25">
      <c r="A38" s="13"/>
      <c r="B38" s="13"/>
      <c r="C38" s="13"/>
      <c r="D38" s="13"/>
      <c r="E38" s="13"/>
      <c r="F38" s="13"/>
      <c r="G38" s="11"/>
      <c r="H38" s="225"/>
    </row>
    <row r="39" spans="1:8" ht="12.75" customHeight="1" x14ac:dyDescent="0.25">
      <c r="A39" s="13"/>
      <c r="B39" s="13"/>
      <c r="C39" s="13"/>
      <c r="D39" s="13"/>
      <c r="E39" s="13"/>
      <c r="F39" s="13"/>
      <c r="G39" s="11"/>
      <c r="H39" s="225"/>
    </row>
    <row r="40" spans="1:8" ht="12.75" customHeight="1" x14ac:dyDescent="0.25">
      <c r="A40" s="13"/>
      <c r="B40" s="13"/>
      <c r="C40" s="13"/>
      <c r="D40" s="13"/>
      <c r="E40" s="13"/>
      <c r="F40" s="13"/>
      <c r="G40" s="11"/>
      <c r="H40" s="225"/>
    </row>
    <row r="41" spans="1:8" ht="21" customHeight="1" x14ac:dyDescent="0.3">
      <c r="B41" s="15" t="s">
        <v>16</v>
      </c>
      <c r="C41" s="519"/>
      <c r="D41" s="519"/>
      <c r="E41" s="519"/>
      <c r="F41" s="519"/>
      <c r="G41" s="519"/>
      <c r="H41" s="519"/>
    </row>
    <row r="42" spans="1:8" ht="21" customHeight="1" x14ac:dyDescent="0.25">
      <c r="B42" s="13"/>
      <c r="C42" s="520"/>
      <c r="D42" s="520"/>
      <c r="E42" s="520"/>
      <c r="F42" s="520"/>
      <c r="G42" s="520"/>
      <c r="H42" s="520"/>
    </row>
    <row r="43" spans="1:8" ht="21" customHeight="1" x14ac:dyDescent="0.25">
      <c r="C43" s="520"/>
      <c r="D43" s="520"/>
      <c r="E43" s="520"/>
      <c r="F43" s="520"/>
      <c r="G43" s="520"/>
      <c r="H43" s="520"/>
    </row>
  </sheetData>
  <sheetProtection algorithmName="SHA-512" hashValue="abtObYTAJ2a4GgQeFcxb+VoEmYw+mOPBAzja9KHx/qL1MviNvAPdqNDCJsK7bx8NCuYo3uLIwXxcIKtXFHp8pw==" saltValue="48jkcU3gUjDemypoD/aXew==" spinCount="100000" sheet="1" selectLockedCells="1"/>
  <mergeCells count="11">
    <mergeCell ref="A1:H1"/>
    <mergeCell ref="B22:G22"/>
    <mergeCell ref="C41:H41"/>
    <mergeCell ref="C42:H42"/>
    <mergeCell ref="C43:H43"/>
    <mergeCell ref="E8:F8"/>
    <mergeCell ref="E9:F9"/>
    <mergeCell ref="E10:F11"/>
    <mergeCell ref="G10:G11"/>
    <mergeCell ref="E12:F12"/>
    <mergeCell ref="E13:F13"/>
  </mergeCells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A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A00-000001000000}">
      <formula1>0</formula1>
      <formula2>100</formula2>
    </dataValidation>
  </dataValidations>
  <hyperlinks>
    <hyperlink ref="H33" r:id="rId1" xr:uid="{00000000-0004-0000-0A00-000000000000}"/>
    <hyperlink ref="H30" r:id="rId2" xr:uid="{00000000-0004-0000-0A00-000001000000}"/>
    <hyperlink ref="H32" r:id="rId3" xr:uid="{00000000-0004-0000-0A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>
    <tabColor theme="9"/>
    <pageSetUpPr autoPageBreaks="0"/>
  </sheetPr>
  <dimension ref="A1:H48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159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8" customHeight="1" x14ac:dyDescent="0.3">
      <c r="A7" s="22"/>
      <c r="B7" s="42"/>
      <c r="C7" s="43"/>
      <c r="D7" s="134" t="s">
        <v>172</v>
      </c>
      <c r="E7" s="198">
        <v>0.375</v>
      </c>
      <c r="F7" s="158"/>
      <c r="G7" s="2"/>
      <c r="H7" s="3"/>
    </row>
    <row r="8" spans="1:8" ht="12.75" customHeight="1" x14ac:dyDescent="0.25">
      <c r="A8" s="22"/>
      <c r="B8" s="522" t="s">
        <v>173</v>
      </c>
      <c r="C8" s="522"/>
      <c r="D8" s="522"/>
      <c r="E8" s="522"/>
      <c r="F8" s="522"/>
      <c r="G8" s="160"/>
      <c r="H8" s="160"/>
    </row>
    <row r="9" spans="1:8" ht="12.75" customHeight="1" x14ac:dyDescent="0.25">
      <c r="A9" s="22"/>
      <c r="B9" s="25"/>
      <c r="C9" s="25"/>
      <c r="D9" s="25"/>
      <c r="E9" s="22"/>
      <c r="F9" s="22"/>
      <c r="G9" s="160"/>
      <c r="H9" s="160"/>
    </row>
    <row r="10" spans="1:8" ht="18" customHeight="1" thickBot="1" x14ac:dyDescent="0.35">
      <c r="A10" s="22"/>
      <c r="B10" s="273" t="s">
        <v>99</v>
      </c>
      <c r="C10" s="274"/>
      <c r="D10" s="161"/>
      <c r="E10" s="506" t="s">
        <v>98</v>
      </c>
      <c r="F10" s="507"/>
      <c r="G10" s="174" t="s">
        <v>109</v>
      </c>
      <c r="H10" s="3"/>
    </row>
    <row r="11" spans="1:8" ht="18" customHeight="1" thickTop="1" x14ac:dyDescent="0.3">
      <c r="A11" s="22"/>
      <c r="B11" s="275" t="s">
        <v>100</v>
      </c>
      <c r="C11" s="276">
        <f>E5</f>
        <v>200</v>
      </c>
      <c r="D11" s="161"/>
      <c r="E11" s="508" t="s">
        <v>168</v>
      </c>
      <c r="F11" s="509"/>
      <c r="G11" s="175">
        <f>E6</f>
        <v>50</v>
      </c>
      <c r="H11" s="3"/>
    </row>
    <row r="12" spans="1:8" ht="18" hidden="1" customHeight="1" x14ac:dyDescent="0.3">
      <c r="A12" s="22"/>
      <c r="B12" s="277" t="s">
        <v>174</v>
      </c>
      <c r="C12" s="278">
        <v>0.375</v>
      </c>
      <c r="D12" s="161"/>
      <c r="E12" s="195"/>
      <c r="F12" s="196" t="s">
        <v>175</v>
      </c>
      <c r="G12" s="183">
        <f>60/3.625</f>
        <v>16.551724137931036</v>
      </c>
      <c r="H12" s="3"/>
    </row>
    <row r="13" spans="1:8" ht="18" hidden="1" customHeight="1" x14ac:dyDescent="0.3">
      <c r="A13" s="22"/>
      <c r="B13" s="277" t="s">
        <v>176</v>
      </c>
      <c r="C13" s="278">
        <v>0.5</v>
      </c>
      <c r="D13" s="161"/>
      <c r="E13" s="195"/>
      <c r="F13" s="196"/>
      <c r="G13" s="183"/>
      <c r="H13" s="3"/>
    </row>
    <row r="14" spans="1:8" ht="18" hidden="1" customHeight="1" x14ac:dyDescent="0.3">
      <c r="A14" s="22"/>
      <c r="B14" s="279" t="s">
        <v>177</v>
      </c>
      <c r="C14" s="280">
        <f>(23.625*2.125)/144</f>
        <v>0.3486328125</v>
      </c>
      <c r="D14" s="161"/>
      <c r="E14" s="195"/>
      <c r="F14" s="196"/>
      <c r="G14" s="184"/>
      <c r="H14" s="3"/>
    </row>
    <row r="15" spans="1:8" ht="18" hidden="1" customHeight="1" x14ac:dyDescent="0.3">
      <c r="A15" s="22"/>
      <c r="B15" s="279" t="s">
        <v>67</v>
      </c>
      <c r="C15" s="280">
        <f>100/C14</f>
        <v>286.83473389355743</v>
      </c>
      <c r="D15" s="161"/>
      <c r="E15" s="195"/>
      <c r="F15" s="196"/>
      <c r="G15" s="184"/>
      <c r="H15" s="3"/>
    </row>
    <row r="16" spans="1:8" ht="18" hidden="1" customHeight="1" x14ac:dyDescent="0.3">
      <c r="A16" s="22"/>
      <c r="B16" s="279" t="s">
        <v>175</v>
      </c>
      <c r="C16" s="280">
        <f>5/C14</f>
        <v>14.341736694677872</v>
      </c>
      <c r="D16" s="161"/>
      <c r="E16" s="195"/>
      <c r="F16" s="196"/>
      <c r="G16" s="184"/>
      <c r="H16" s="3"/>
    </row>
    <row r="17" spans="1:8" ht="18" hidden="1" customHeight="1" x14ac:dyDescent="0.3">
      <c r="A17" s="22"/>
      <c r="B17" s="279" t="s">
        <v>178</v>
      </c>
      <c r="C17" s="280">
        <f>(24*2.5)/144</f>
        <v>0.41666666666666669</v>
      </c>
      <c r="D17" s="161"/>
      <c r="E17" s="195"/>
      <c r="F17" s="196"/>
      <c r="G17" s="184"/>
      <c r="H17" s="3"/>
    </row>
    <row r="18" spans="1:8" ht="18" hidden="1" customHeight="1" x14ac:dyDescent="0.3">
      <c r="A18" s="22"/>
      <c r="B18" s="279" t="s">
        <v>179</v>
      </c>
      <c r="C18" s="280">
        <f>(24.125*2.625)/144</f>
        <v>0.43977864583333331</v>
      </c>
      <c r="D18" s="161"/>
      <c r="E18" s="195"/>
      <c r="F18" s="196"/>
      <c r="G18" s="184"/>
      <c r="H18" s="3"/>
    </row>
    <row r="19" spans="1:8" ht="18" customHeight="1" x14ac:dyDescent="0.25">
      <c r="A19" s="22"/>
      <c r="B19" s="279" t="s">
        <v>111</v>
      </c>
      <c r="C19" s="281">
        <f>IF(E7=0.375,(C15*C17),(C15*C18))</f>
        <v>119.51447245564893</v>
      </c>
      <c r="D19" s="161"/>
      <c r="E19" s="185"/>
      <c r="F19" s="186" t="s">
        <v>108</v>
      </c>
      <c r="G19" s="187">
        <f>IF(E7=0.375,(G12*4/12),(G12*4.125/12))</f>
        <v>5.5172413793103452</v>
      </c>
      <c r="H19" s="162"/>
    </row>
    <row r="20" spans="1:8" ht="18" customHeight="1" thickBot="1" x14ac:dyDescent="0.3">
      <c r="A20" s="22"/>
      <c r="B20" s="279" t="s">
        <v>110</v>
      </c>
      <c r="C20" s="282">
        <f>IF(E7=0.375,(C16*C17),(C16*C18))</f>
        <v>5.9757236227824464</v>
      </c>
      <c r="D20" s="161"/>
      <c r="E20" s="188"/>
      <c r="F20" s="189"/>
      <c r="G20" s="190"/>
      <c r="H20" s="162"/>
    </row>
    <row r="21" spans="1:8" ht="18" customHeight="1" thickTop="1" thickBot="1" x14ac:dyDescent="0.3">
      <c r="A21" s="22"/>
      <c r="B21" s="283" t="s">
        <v>68</v>
      </c>
      <c r="C21" s="284">
        <f>IF(MOD(C11,C19)&lt;=(C19*0.65),ROUNDDOWN(+E5/C19,0),ROUNDUP(+E5/C19,0))</f>
        <v>2</v>
      </c>
      <c r="D21" s="161"/>
      <c r="E21" s="516" t="s">
        <v>107</v>
      </c>
      <c r="F21" s="517"/>
      <c r="G21" s="284">
        <f>ROUNDUP(E6/G19,0)</f>
        <v>10</v>
      </c>
      <c r="H21" s="162"/>
    </row>
    <row r="22" spans="1:8" ht="18" customHeight="1" thickTop="1" x14ac:dyDescent="0.25">
      <c r="A22" s="22"/>
      <c r="B22" s="285" t="s">
        <v>112</v>
      </c>
      <c r="C22" s="284">
        <f>IF(ROUNDUP((C11-(C19*C21)),0)&lt;0,0,ROUNDUP((C11-(C19*C21))/C20,0))</f>
        <v>0</v>
      </c>
      <c r="D22" s="161"/>
      <c r="E22" s="518" t="s">
        <v>75</v>
      </c>
      <c r="F22" s="518"/>
      <c r="G22" s="286">
        <v>48</v>
      </c>
    </row>
    <row r="23" spans="1:8" ht="12.75" customHeight="1" x14ac:dyDescent="0.25">
      <c r="A23" s="22"/>
      <c r="B23" s="287" t="s">
        <v>70</v>
      </c>
      <c r="C23" s="78">
        <v>1510</v>
      </c>
      <c r="D23" s="161"/>
    </row>
    <row r="24" spans="1:8" ht="12.75" customHeight="1" x14ac:dyDescent="0.25">
      <c r="A24" s="22"/>
      <c r="B24" s="217" t="s">
        <v>113</v>
      </c>
      <c r="C24" s="157">
        <v>75</v>
      </c>
      <c r="D24" s="161"/>
      <c r="E24" s="161"/>
      <c r="F24" s="161"/>
      <c r="G24" s="161"/>
    </row>
    <row r="25" spans="1:8" ht="12.75" customHeight="1" x14ac:dyDescent="0.25">
      <c r="A25" s="22"/>
      <c r="B25" s="217"/>
      <c r="C25" s="157"/>
      <c r="D25" s="161"/>
      <c r="E25" s="161"/>
      <c r="F25" s="161"/>
      <c r="G25" s="161"/>
    </row>
    <row r="26" spans="1:8" ht="18" customHeight="1" x14ac:dyDescent="0.25">
      <c r="A26" s="176"/>
      <c r="B26" s="176"/>
      <c r="C26" s="177" t="s">
        <v>114</v>
      </c>
      <c r="D26" s="178">
        <f>(C21*C19)+(C22*C20)</f>
        <v>239.02894491129786</v>
      </c>
      <c r="E26" s="179" t="s">
        <v>181</v>
      </c>
      <c r="F26" s="176"/>
      <c r="G26" s="176"/>
      <c r="H26" s="176"/>
    </row>
    <row r="27" spans="1:8" s="11" customFormat="1" ht="18" customHeight="1" x14ac:dyDescent="0.25">
      <c r="A27" s="176"/>
      <c r="B27" s="176"/>
      <c r="C27" s="177" t="s">
        <v>101</v>
      </c>
      <c r="D27" s="178">
        <f>(C21*C23)+(C22*C24)</f>
        <v>3020</v>
      </c>
      <c r="E27" s="179" t="s">
        <v>3</v>
      </c>
      <c r="F27" s="176"/>
      <c r="G27" s="176"/>
      <c r="H27" s="176"/>
    </row>
    <row r="28" spans="1:8" s="11" customFormat="1" ht="18" customHeight="1" x14ac:dyDescent="0.3">
      <c r="A28" s="288"/>
      <c r="B28" s="288"/>
      <c r="C28" s="289" t="s">
        <v>97</v>
      </c>
      <c r="D28" s="290">
        <f>G19*G21</f>
        <v>55.172413793103452</v>
      </c>
      <c r="E28" s="291" t="s">
        <v>182</v>
      </c>
      <c r="F28" s="292"/>
      <c r="G28" s="288"/>
      <c r="H28" s="293"/>
    </row>
    <row r="29" spans="1:8" s="11" customFormat="1" ht="18" customHeight="1" x14ac:dyDescent="0.3">
      <c r="A29" s="288"/>
      <c r="B29" s="288"/>
      <c r="C29" s="289" t="s">
        <v>102</v>
      </c>
      <c r="D29" s="290">
        <f>G21*G22</f>
        <v>480</v>
      </c>
      <c r="E29" s="291" t="s">
        <v>3</v>
      </c>
      <c r="F29" s="292"/>
      <c r="G29" s="288"/>
      <c r="H29" s="293"/>
    </row>
    <row r="30" spans="1:8" s="11" customFormat="1" ht="18" customHeight="1" x14ac:dyDescent="0.25">
      <c r="A30" s="39"/>
      <c r="B30" s="39"/>
      <c r="C30" s="69" t="s">
        <v>94</v>
      </c>
      <c r="D30" s="70">
        <f>ROUND(+D26/25,0)</f>
        <v>10</v>
      </c>
      <c r="E30" s="294" t="s">
        <v>169</v>
      </c>
      <c r="F30" s="40"/>
      <c r="G30" s="39"/>
      <c r="H30" s="35"/>
    </row>
    <row r="31" spans="1:8" s="11" customFormat="1" ht="18" customHeight="1" x14ac:dyDescent="0.25">
      <c r="A31" s="39"/>
      <c r="B31" s="295"/>
      <c r="C31" s="69" t="s">
        <v>94</v>
      </c>
      <c r="D31" s="70">
        <f>IF(E7=0.375,ROUND(+D26/60,0),ROUND(+D26/45,0))</f>
        <v>4</v>
      </c>
      <c r="E31" s="294" t="s">
        <v>180</v>
      </c>
      <c r="F31" s="40"/>
      <c r="G31" s="39"/>
      <c r="H31" s="35"/>
    </row>
    <row r="32" spans="1:8" s="11" customFormat="1" x14ac:dyDescent="0.25">
      <c r="A32" s="39"/>
      <c r="B32" s="521" t="s">
        <v>8</v>
      </c>
      <c r="C32" s="521"/>
      <c r="D32" s="521"/>
      <c r="E32" s="521"/>
      <c r="F32" s="521"/>
      <c r="G32" s="521"/>
      <c r="H32" s="35"/>
    </row>
    <row r="33" spans="1:8" s="11" customFormat="1" ht="18" customHeight="1" x14ac:dyDescent="0.25">
      <c r="A33" s="176"/>
      <c r="B33" s="176"/>
      <c r="C33" s="177" t="s">
        <v>96</v>
      </c>
      <c r="D33" s="178">
        <f>SUM(D27+D29)</f>
        <v>3500</v>
      </c>
      <c r="E33" s="179" t="s">
        <v>3</v>
      </c>
      <c r="F33" s="176"/>
      <c r="G33" s="176"/>
      <c r="H33" s="180"/>
    </row>
    <row r="34" spans="1:8" s="11" customFormat="1" ht="12.75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s="11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s="11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s="11" customFormat="1" ht="17.399999999999999" x14ac:dyDescent="0.25">
      <c r="A37" s="23"/>
      <c r="B37" s="23"/>
      <c r="C37" s="23"/>
      <c r="D37" s="23"/>
      <c r="E37" s="23"/>
      <c r="F37" s="23"/>
      <c r="G37" s="23"/>
      <c r="H37" s="223" t="s">
        <v>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11" customFormat="1" ht="12.75" customHeight="1" x14ac:dyDescent="0.25">
      <c r="A39" s="13"/>
      <c r="B39" s="13"/>
      <c r="C39" s="13"/>
      <c r="D39" s="13"/>
      <c r="F39" s="13"/>
      <c r="G39" s="13"/>
      <c r="H39" s="224" t="s">
        <v>55</v>
      </c>
    </row>
    <row r="40" spans="1:8" ht="12.75" customHeight="1" x14ac:dyDescent="0.25">
      <c r="A40" s="13"/>
      <c r="B40" s="13"/>
      <c r="C40" s="13"/>
      <c r="D40" s="13"/>
      <c r="E40" s="13"/>
      <c r="F40" s="13"/>
      <c r="G40" s="13"/>
      <c r="H40" s="199" t="s">
        <v>54</v>
      </c>
    </row>
    <row r="41" spans="1:8" ht="12.75" customHeight="1" x14ac:dyDescent="0.25">
      <c r="A41" s="13"/>
      <c r="B41" s="13"/>
      <c r="C41" s="13"/>
      <c r="D41" s="13"/>
      <c r="E41" s="13"/>
      <c r="F41" s="13"/>
      <c r="G41" s="13"/>
      <c r="H41" s="246"/>
    </row>
    <row r="42" spans="1:8" ht="12.75" customHeight="1" x14ac:dyDescent="0.25">
      <c r="A42" s="13"/>
      <c r="B42" s="13"/>
      <c r="C42" s="13"/>
      <c r="D42" s="13"/>
      <c r="E42" s="13"/>
      <c r="F42" s="13"/>
      <c r="G42" s="13"/>
      <c r="H42" s="199" t="s">
        <v>56</v>
      </c>
    </row>
    <row r="43" spans="1:8" ht="12.75" customHeight="1" x14ac:dyDescent="0.25">
      <c r="A43" s="13"/>
      <c r="B43" s="13"/>
      <c r="C43" s="13"/>
      <c r="D43" s="13"/>
      <c r="E43" s="13"/>
      <c r="F43" s="13"/>
      <c r="G43" s="11"/>
      <c r="H43" s="199" t="s">
        <v>10</v>
      </c>
    </row>
    <row r="44" spans="1:8" ht="12.75" customHeight="1" x14ac:dyDescent="0.25">
      <c r="A44" s="13"/>
      <c r="B44" s="13"/>
      <c r="C44" s="13"/>
      <c r="D44" s="13"/>
      <c r="E44" s="13"/>
      <c r="F44" s="13"/>
      <c r="G44" s="11"/>
      <c r="H44" s="225" t="s">
        <v>7</v>
      </c>
    </row>
    <row r="45" spans="1:8" ht="12.75" customHeight="1" x14ac:dyDescent="0.25">
      <c r="A45" s="13"/>
      <c r="B45" s="13"/>
      <c r="C45" s="13"/>
      <c r="D45" s="13"/>
      <c r="E45" s="13"/>
      <c r="F45" s="13"/>
      <c r="G45" s="11"/>
      <c r="H45" s="225"/>
    </row>
    <row r="46" spans="1:8" ht="21" customHeight="1" x14ac:dyDescent="0.3">
      <c r="B46" s="15" t="s">
        <v>16</v>
      </c>
      <c r="C46" s="519"/>
      <c r="D46" s="519"/>
      <c r="E46" s="519"/>
      <c r="F46" s="519"/>
      <c r="G46" s="519"/>
      <c r="H46" s="519"/>
    </row>
    <row r="47" spans="1:8" ht="21" customHeight="1" x14ac:dyDescent="0.25">
      <c r="B47" s="13"/>
      <c r="C47" s="520"/>
      <c r="D47" s="520"/>
      <c r="E47" s="520"/>
      <c r="F47" s="520"/>
      <c r="G47" s="520"/>
      <c r="H47" s="520"/>
    </row>
    <row r="48" spans="1:8" ht="21" customHeight="1" x14ac:dyDescent="0.25">
      <c r="C48" s="520"/>
      <c r="D48" s="520"/>
      <c r="E48" s="520"/>
      <c r="F48" s="520"/>
      <c r="G48" s="520"/>
      <c r="H48" s="520"/>
    </row>
  </sheetData>
  <sheetProtection algorithmName="SHA-512" hashValue="uK9ZiDwjAO2g4MEIGhCZX7gZtj+F955pBY4CTL9rzZH+QpwtYPDomwJnhqnZd8G1pt33oXRoTDx4wWWm2tr4AA==" saltValue="UNZp05ti7M5VciRpkt9zyg==" spinCount="100000" sheet="1" selectLockedCells="1"/>
  <mergeCells count="10">
    <mergeCell ref="A1:H1"/>
    <mergeCell ref="B32:G32"/>
    <mergeCell ref="C46:H46"/>
    <mergeCell ref="C47:H47"/>
    <mergeCell ref="C48:H48"/>
    <mergeCell ref="B8:F8"/>
    <mergeCell ref="E10:F10"/>
    <mergeCell ref="E11:F11"/>
    <mergeCell ref="E21:F21"/>
    <mergeCell ref="E22:F22"/>
  </mergeCells>
  <dataValidations count="3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B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B00-000001000000}">
      <formula1>0</formula1>
      <formula2>100</formula2>
    </dataValidation>
    <dataValidation type="list" allowBlank="1" showInputMessage="1" showErrorMessage="1" sqref="E7" xr:uid="{00000000-0002-0000-0B00-000002000000}">
      <formula1>$C$12:$C$13</formula1>
    </dataValidation>
  </dataValidations>
  <hyperlinks>
    <hyperlink ref="H43" r:id="rId1" xr:uid="{00000000-0004-0000-0B00-000000000000}"/>
    <hyperlink ref="H40" r:id="rId2" xr:uid="{00000000-0004-0000-0B00-000001000000}"/>
    <hyperlink ref="H42" r:id="rId3" xr:uid="{00000000-0004-0000-0B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C00000"/>
  </sheetPr>
  <dimension ref="A1:TV55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191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35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5">
      <c r="A7" s="22"/>
      <c r="B7" s="269" t="s">
        <v>0</v>
      </c>
      <c r="C7" s="451" t="s">
        <v>300</v>
      </c>
      <c r="D7" s="102" t="s">
        <v>20</v>
      </c>
      <c r="E7" s="102" t="s">
        <v>21</v>
      </c>
      <c r="F7" s="253"/>
      <c r="G7" s="4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0.4</v>
      </c>
      <c r="E8" s="89">
        <v>0.4</v>
      </c>
      <c r="F8" s="74">
        <f>SUM(B8,C8,D8,E8)</f>
        <v>1</v>
      </c>
      <c r="G8" s="4"/>
      <c r="H8" s="1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0.72</v>
      </c>
      <c r="E9" s="105">
        <v>0.96</v>
      </c>
      <c r="F9" s="161"/>
      <c r="G9" s="22"/>
    </row>
    <row r="10" spans="1:8" ht="12.75" customHeight="1" x14ac:dyDescent="0.25">
      <c r="A10" s="22"/>
      <c r="B10" s="50" t="s">
        <v>1</v>
      </c>
      <c r="C10" s="106">
        <f>+($E$5*C8)/C9</f>
        <v>83.333333333333343</v>
      </c>
      <c r="D10" s="107">
        <f>+($E$5*D8)/D9</f>
        <v>111.11111111111111</v>
      </c>
      <c r="E10" s="107">
        <f>+($E$5*E8)/E9</f>
        <v>83.333333333333343</v>
      </c>
      <c r="F10" s="255"/>
      <c r="G10" s="501" t="s">
        <v>89</v>
      </c>
      <c r="H10" s="501"/>
    </row>
    <row r="11" spans="1:8" ht="12.75" customHeight="1" x14ac:dyDescent="0.25">
      <c r="A11" s="22"/>
      <c r="B11" s="145" t="s">
        <v>67</v>
      </c>
      <c r="C11" s="104">
        <v>180</v>
      </c>
      <c r="D11" s="105">
        <v>84</v>
      </c>
      <c r="E11" s="105">
        <v>70</v>
      </c>
      <c r="F11" s="161"/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10.5</v>
      </c>
      <c r="E12" s="105">
        <v>10</v>
      </c>
      <c r="F12" s="161"/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11</v>
      </c>
      <c r="E13" s="105">
        <v>10</v>
      </c>
      <c r="F13" s="161"/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10</v>
      </c>
      <c r="E14" s="105">
        <v>10</v>
      </c>
      <c r="F14" s="161"/>
      <c r="G14" s="501"/>
      <c r="H14" s="501"/>
    </row>
    <row r="15" spans="1:8" ht="18" customHeight="1" thickBot="1" x14ac:dyDescent="0.35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56"/>
      <c r="G15" s="501"/>
      <c r="H15" s="501"/>
    </row>
    <row r="16" spans="1:8" ht="18" customHeight="1" thickBot="1" x14ac:dyDescent="0.35">
      <c r="A16" s="22"/>
      <c r="B16" s="139" t="s">
        <v>84</v>
      </c>
      <c r="C16" s="119">
        <f>IF(ROUNDUP((C10-(C11*C15))/C12,0)&lt;0,0,ROUNDUP((C10-(C11*C15))/C12,0))</f>
        <v>7</v>
      </c>
      <c r="D16" s="119">
        <f>IF(ROUNDUP((D10-(D11*D15))/D12,0)&lt;0,0,ROUNDUP((D10-(D11*D15))/D12,0))</f>
        <v>3</v>
      </c>
      <c r="E16" s="131">
        <f>IF(ROUNDUP((E10-(E11*E15))/E12,0)&lt;0,0,ROUNDUP((E10-(E11*E15))/E12,0))</f>
        <v>2</v>
      </c>
      <c r="F16" s="256"/>
      <c r="G16" s="22"/>
    </row>
    <row r="17" spans="1:542" ht="18" customHeight="1" x14ac:dyDescent="0.3">
      <c r="A17" s="22"/>
      <c r="B17" s="140" t="s">
        <v>65</v>
      </c>
      <c r="C17" s="123">
        <f>(C15*C11)+(ROUNDUP(C16/2,0)*C13)+(ROUNDDOWN(C16/2,0)*C14)</f>
        <v>84</v>
      </c>
      <c r="D17" s="123">
        <f>(D15*D11)+(ROUNDUP(D16/2,0)*D13)+(ROUNDDOWN(D16/2,0)*D14)</f>
        <v>116</v>
      </c>
      <c r="E17" s="132">
        <f>(E15*E11)+(ROUNDUP(E16/2,0)*E13)+(ROUNDDOWN(E16/2,0)*E14)</f>
        <v>90</v>
      </c>
      <c r="F17" s="256"/>
      <c r="G17" s="22"/>
    </row>
    <row r="18" spans="1:542" ht="12.75" customHeight="1" x14ac:dyDescent="0.25">
      <c r="A18" s="22"/>
      <c r="B18" s="144" t="s">
        <v>70</v>
      </c>
      <c r="C18" s="25">
        <f>C11*C19</f>
        <v>2737.8</v>
      </c>
      <c r="D18" s="25">
        <f>D11*D19</f>
        <v>2426.34</v>
      </c>
      <c r="E18" s="25">
        <v>2871</v>
      </c>
      <c r="F18" s="25"/>
      <c r="G18" s="22"/>
    </row>
    <row r="19" spans="1:542" ht="12.75" customHeight="1" x14ac:dyDescent="0.25">
      <c r="A19" s="22"/>
      <c r="B19" s="266" t="s">
        <v>69</v>
      </c>
      <c r="C19" s="161">
        <v>15.21</v>
      </c>
      <c r="D19" s="32">
        <v>28.885000000000002</v>
      </c>
      <c r="E19" s="161">
        <v>41.01</v>
      </c>
      <c r="F19" s="257"/>
      <c r="G19" s="22"/>
    </row>
    <row r="20" spans="1:542" ht="12.75" hidden="1" customHeight="1" x14ac:dyDescent="0.25">
      <c r="A20" s="22"/>
      <c r="B20" s="24" t="s">
        <v>71</v>
      </c>
      <c r="C20" s="25">
        <f>+C17*C9</f>
        <v>40.32</v>
      </c>
      <c r="D20" s="25">
        <f>+D17*D9</f>
        <v>83.52</v>
      </c>
      <c r="E20" s="25">
        <f>+E17*E9</f>
        <v>86.399999999999991</v>
      </c>
      <c r="F20" s="161"/>
      <c r="G20" s="22"/>
    </row>
    <row r="21" spans="1:542" ht="12.75" customHeight="1" x14ac:dyDescent="0.25">
      <c r="A21" s="22"/>
      <c r="B21" s="24"/>
      <c r="C21" s="25"/>
      <c r="D21" s="25"/>
      <c r="E21" s="25"/>
      <c r="F21" s="161"/>
      <c r="G21" s="22"/>
    </row>
    <row r="22" spans="1:542" ht="12.75" customHeight="1" x14ac:dyDescent="0.25">
      <c r="A22" s="22"/>
      <c r="B22" s="86" t="s">
        <v>88</v>
      </c>
      <c r="C22" s="25"/>
      <c r="D22" s="25"/>
      <c r="E22" s="25"/>
      <c r="F22" s="161"/>
      <c r="G22" s="22"/>
    </row>
    <row r="23" spans="1:542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542" ht="18" customHeight="1" x14ac:dyDescent="0.25">
      <c r="A24" s="44"/>
      <c r="B24" s="44"/>
      <c r="C24" s="243" t="s">
        <v>92</v>
      </c>
      <c r="D24" s="234">
        <f>SUM(C20:E20)</f>
        <v>210.24</v>
      </c>
      <c r="E24" s="244" t="s">
        <v>93</v>
      </c>
      <c r="F24" s="44"/>
      <c r="G24" s="44"/>
      <c r="H24" s="46"/>
      <c r="K24" s="22"/>
    </row>
    <row r="25" spans="1:542" ht="18" customHeight="1" x14ac:dyDescent="0.25">
      <c r="A25" s="39"/>
      <c r="B25" s="39"/>
      <c r="C25" s="69" t="s">
        <v>94</v>
      </c>
      <c r="D25" s="70">
        <f>ROUND(+D24/30,0)</f>
        <v>7</v>
      </c>
      <c r="E25" s="245" t="s">
        <v>4</v>
      </c>
      <c r="F25" s="39"/>
      <c r="G25" s="39"/>
      <c r="H25" s="35"/>
    </row>
    <row r="26" spans="1:542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542" ht="18" customHeight="1" x14ac:dyDescent="0.25">
      <c r="A27" s="44"/>
      <c r="B27" s="44"/>
      <c r="C27" s="243" t="s">
        <v>95</v>
      </c>
      <c r="D27" s="234">
        <f>SUM(C17*C19+D17*D19+E17*E19)</f>
        <v>8319.2000000000007</v>
      </c>
      <c r="E27" s="244" t="s">
        <v>3</v>
      </c>
      <c r="F27" s="44"/>
      <c r="G27" s="44"/>
      <c r="H27" s="46"/>
    </row>
    <row r="28" spans="1:542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</row>
    <row r="29" spans="1:542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</row>
    <row r="30" spans="1:542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</row>
    <row r="31" spans="1:542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</row>
    <row r="32" spans="1:542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</row>
    <row r="33" spans="1:542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</row>
    <row r="34" spans="1:5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271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</row>
    <row r="35" spans="1:5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7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</row>
    <row r="36" spans="1:5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</row>
    <row r="37" spans="1:5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</row>
    <row r="38" spans="1:5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</row>
    <row r="39" spans="1:5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70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</row>
    <row r="40" spans="1:5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</row>
    <row r="41" spans="1:5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</row>
    <row r="42" spans="1:5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</row>
    <row r="43" spans="1:5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</row>
    <row r="44" spans="1:5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</row>
    <row r="45" spans="1:542" ht="12.75" customHeight="1" x14ac:dyDescent="0.25"/>
    <row r="46" spans="1:542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542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542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</sheetData>
  <sheetProtection algorithmName="SHA-512" hashValue="EpBpUkiopJlI4QamlPpYowP+12sAeda+bA6zWEjXYAyyOvLe+2YUW8c5SUygf4PQvOmSsmEqK2tPXwpS6VD0Fg==" saltValue="qiRYAg67MyCKSMEB2d0yNg==" spinCount="100000" sheet="1" selectLockedCells="1"/>
  <mergeCells count="3">
    <mergeCell ref="A1:H1"/>
    <mergeCell ref="G10:H15"/>
    <mergeCell ref="B26:G26"/>
  </mergeCells>
  <phoneticPr fontId="0" type="noConversion"/>
  <dataValidations disablePrompts="1" xWindow="521" yWindow="286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0D00-000000000000}"/>
  </dataValidations>
  <hyperlinks>
    <hyperlink ref="H38" r:id="rId1" xr:uid="{00000000-0004-0000-0D00-000000000000}"/>
    <hyperlink ref="H37" r:id="rId2" xr:uid="{00000000-0004-0000-0D00-000001000000}"/>
    <hyperlink ref="H36" r:id="rId3" xr:uid="{00000000-0004-0000-0D00-000002000000}"/>
    <hyperlink ref="H34" r:id="rId4" xr:uid="{00000000-0004-0000-0D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C00000"/>
  </sheetPr>
  <dimension ref="A1:QZ53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192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19</v>
      </c>
      <c r="D7" s="102" t="s">
        <v>21</v>
      </c>
      <c r="E7" s="102" t="s">
        <v>22</v>
      </c>
      <c r="G7" s="4"/>
      <c r="H7" s="1"/>
    </row>
    <row r="8" spans="1:8" ht="18" customHeight="1" thickTop="1" x14ac:dyDescent="0.3">
      <c r="A8" s="22"/>
      <c r="B8" s="103" t="s">
        <v>11</v>
      </c>
      <c r="C8" s="88">
        <v>0.25</v>
      </c>
      <c r="D8" s="89">
        <v>0.5</v>
      </c>
      <c r="E8" s="89">
        <v>0.25</v>
      </c>
      <c r="F8" s="74">
        <f>SUM(A8:E8)</f>
        <v>1</v>
      </c>
      <c r="G8" s="4"/>
      <c r="H8" s="1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0.96</v>
      </c>
      <c r="E9" s="105">
        <v>1.44</v>
      </c>
      <c r="G9" s="22"/>
    </row>
    <row r="10" spans="1:8" ht="12.75" customHeight="1" x14ac:dyDescent="0.25">
      <c r="A10" s="22"/>
      <c r="B10" s="50" t="s">
        <v>1</v>
      </c>
      <c r="C10" s="106">
        <f>+($E$5*C8)/C9</f>
        <v>104.16666666666667</v>
      </c>
      <c r="D10" s="107">
        <f>+($E$5*D8)/D9</f>
        <v>104.16666666666667</v>
      </c>
      <c r="E10" s="107">
        <f>+($E$5*E8)/E9</f>
        <v>34.722222222222221</v>
      </c>
      <c r="G10" s="501" t="s">
        <v>89</v>
      </c>
      <c r="H10" s="501"/>
    </row>
    <row r="11" spans="1:8" ht="12.75" customHeight="1" x14ac:dyDescent="0.25">
      <c r="A11" s="22"/>
      <c r="B11" s="51" t="s">
        <v>67</v>
      </c>
      <c r="C11" s="104">
        <v>180</v>
      </c>
      <c r="D11" s="105">
        <v>70</v>
      </c>
      <c r="E11" s="105">
        <v>40</v>
      </c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10</v>
      </c>
      <c r="E12" s="105">
        <v>10</v>
      </c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10</v>
      </c>
      <c r="E13" s="105">
        <v>10</v>
      </c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10</v>
      </c>
      <c r="E14" s="105">
        <v>10</v>
      </c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9</v>
      </c>
      <c r="D16" s="119">
        <f>IF(ROUNDUP((D10-(D11*D15))/D12,0)&lt;0,0,ROUNDUP((D10-(D11*D15))/D12,0))</f>
        <v>4</v>
      </c>
      <c r="E16" s="131">
        <f>IF(ROUNDUP((E10-(E11*E15))/E12,0)&lt;0,0,ROUNDUP((E10-(E11*E15))/E12,0))</f>
        <v>0</v>
      </c>
      <c r="G16" s="22"/>
    </row>
    <row r="17" spans="1:468" ht="18" customHeight="1" x14ac:dyDescent="0.25">
      <c r="A17" s="22"/>
      <c r="B17" s="140" t="s">
        <v>65</v>
      </c>
      <c r="C17" s="123">
        <f>(C15*C11)+(ROUNDUP(C16/2,0)*C13)+(ROUNDDOWN(C16/2,0)*C14)</f>
        <v>108</v>
      </c>
      <c r="D17" s="123">
        <f>(D15*D11)+(ROUNDUP(D16/2,0)*D13)+(ROUNDDOWN(D16/2,0)*D14)</f>
        <v>110</v>
      </c>
      <c r="E17" s="132">
        <f>(E15*E11)+(ROUNDUP(E16/2,0)*E13)+(ROUNDDOWN(E16/2,0)*E14)</f>
        <v>40</v>
      </c>
      <c r="G17" s="22"/>
    </row>
    <row r="18" spans="1:468" ht="12.75" customHeight="1" x14ac:dyDescent="0.25">
      <c r="A18" s="22"/>
      <c r="B18" s="144" t="s">
        <v>70</v>
      </c>
      <c r="C18" s="25">
        <f>C11*C19</f>
        <v>2737.8</v>
      </c>
      <c r="D18" s="25">
        <f>D11*D19</f>
        <v>2870.7</v>
      </c>
      <c r="E18" s="25">
        <f>E11*E19</f>
        <v>2399.1999999999998</v>
      </c>
      <c r="G18" s="22"/>
    </row>
    <row r="19" spans="1:468" ht="12.75" customHeight="1" x14ac:dyDescent="0.25">
      <c r="A19" s="22"/>
      <c r="B19" s="266" t="s">
        <v>69</v>
      </c>
      <c r="C19" s="161">
        <v>15.21</v>
      </c>
      <c r="D19" s="161">
        <v>41.01</v>
      </c>
      <c r="E19" s="161">
        <v>59.98</v>
      </c>
      <c r="G19" s="22"/>
    </row>
    <row r="20" spans="1:468" ht="18" hidden="1" customHeight="1" x14ac:dyDescent="0.25">
      <c r="A20" s="22"/>
      <c r="B20" s="24" t="s">
        <v>71</v>
      </c>
      <c r="C20" s="25">
        <f>+C17*C9</f>
        <v>51.839999999999996</v>
      </c>
      <c r="D20" s="25">
        <f>+D17*D9</f>
        <v>105.6</v>
      </c>
      <c r="E20" s="25">
        <f>+E17*E9</f>
        <v>57.599999999999994</v>
      </c>
      <c r="G20" s="22"/>
    </row>
    <row r="21" spans="1:468" ht="12.75" customHeight="1" x14ac:dyDescent="0.25">
      <c r="A21" s="22"/>
      <c r="B21" s="22"/>
      <c r="C21" s="22"/>
      <c r="D21" s="22"/>
      <c r="E21" s="22"/>
      <c r="F21" s="22"/>
      <c r="G21" s="22"/>
    </row>
    <row r="22" spans="1:468" ht="12.75" customHeight="1" x14ac:dyDescent="0.25">
      <c r="A22" s="22"/>
      <c r="B22" s="86" t="s">
        <v>88</v>
      </c>
      <c r="C22" s="22"/>
      <c r="D22" s="22"/>
      <c r="E22" s="22"/>
      <c r="F22" s="22"/>
      <c r="G22" s="22"/>
    </row>
    <row r="23" spans="1:468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468" ht="18" customHeight="1" x14ac:dyDescent="0.25">
      <c r="A24" s="44"/>
      <c r="B24" s="44"/>
      <c r="C24" s="243" t="s">
        <v>92</v>
      </c>
      <c r="D24" s="234">
        <f>SUM(C20:E20)</f>
        <v>215.04</v>
      </c>
      <c r="E24" s="244" t="s">
        <v>93</v>
      </c>
      <c r="F24" s="44"/>
      <c r="G24" s="44"/>
      <c r="H24" s="46"/>
    </row>
    <row r="25" spans="1:468" ht="18" customHeight="1" x14ac:dyDescent="0.25">
      <c r="A25" s="39"/>
      <c r="B25" s="39"/>
      <c r="C25" s="69" t="s">
        <v>94</v>
      </c>
      <c r="D25" s="70">
        <f>ROUND(+D24/30,0)</f>
        <v>7</v>
      </c>
      <c r="E25" s="245" t="s">
        <v>4</v>
      </c>
      <c r="F25" s="39"/>
      <c r="G25" s="39"/>
      <c r="H25" s="35"/>
    </row>
    <row r="26" spans="1:46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468" ht="18" customHeight="1" x14ac:dyDescent="0.25">
      <c r="A27" s="44"/>
      <c r="B27" s="44"/>
      <c r="C27" s="243" t="s">
        <v>95</v>
      </c>
      <c r="D27" s="234">
        <f>SUM(C17*C19+D17*D19+E17*E19)</f>
        <v>8552.98</v>
      </c>
      <c r="E27" s="244" t="s">
        <v>3</v>
      </c>
      <c r="F27" s="44"/>
      <c r="G27" s="44"/>
      <c r="H27" s="46"/>
    </row>
    <row r="28" spans="1:468" s="17" customFormat="1" ht="12.75" customHeight="1" x14ac:dyDescent="0.25">
      <c r="A28" s="502" t="s">
        <v>193</v>
      </c>
      <c r="B28" s="502"/>
      <c r="C28" s="502"/>
      <c r="D28" s="502"/>
      <c r="E28" s="502"/>
      <c r="F28" s="502"/>
      <c r="G28" s="502"/>
      <c r="H28" s="50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</row>
    <row r="29" spans="1:468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</row>
    <row r="30" spans="1:468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</row>
    <row r="31" spans="1:468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</row>
    <row r="32" spans="1:46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</row>
    <row r="33" spans="1:46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</row>
    <row r="34" spans="1:46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</row>
    <row r="35" spans="1:46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68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</row>
    <row r="36" spans="1:46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</row>
    <row r="37" spans="1:46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</row>
    <row r="38" spans="1:46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</row>
    <row r="39" spans="1:46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</row>
    <row r="40" spans="1:46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</row>
    <row r="41" spans="1:46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</row>
    <row r="42" spans="1:46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</row>
    <row r="43" spans="1:46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</row>
    <row r="44" spans="1:46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</row>
    <row r="45" spans="1:46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</row>
    <row r="46" spans="1:468" s="17" customFormat="1" ht="21" customHeight="1" x14ac:dyDescent="0.3">
      <c r="A46" s="23"/>
      <c r="B46" s="15" t="s">
        <v>16</v>
      </c>
      <c r="C46" s="113"/>
      <c r="D46" s="113"/>
      <c r="E46" s="113"/>
      <c r="F46" s="113"/>
      <c r="G46" s="113"/>
      <c r="H46" s="1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</row>
    <row r="47" spans="1:468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</row>
    <row r="48" spans="1:468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</sheetData>
  <sheetProtection algorithmName="SHA-512" hashValue="HCswBEyONczVyFEG03tlYZcmVbDC8CAUHgALqEWhLrLseugxJRNaUii0rWgf3VI+TTwlcQDnSbG5wEw/0dNbNQ==" saltValue="69G7lbJizFZ90LS3/ZNKKA==" spinCount="100000" sheet="1" selectLockedCells="1"/>
  <mergeCells count="4">
    <mergeCell ref="A1:H1"/>
    <mergeCell ref="G10:H15"/>
    <mergeCell ref="B26:G26"/>
    <mergeCell ref="A28:H28"/>
  </mergeCells>
  <phoneticPr fontId="0" type="noConversion"/>
  <dataValidations disablePrompts="1" xWindow="497" yWindow="276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0E00-000000000000}"/>
  </dataValidations>
  <hyperlinks>
    <hyperlink ref="H38" r:id="rId1" xr:uid="{00000000-0004-0000-0E00-000000000000}"/>
    <hyperlink ref="H37" r:id="rId2" xr:uid="{00000000-0004-0000-0E00-000001000000}"/>
    <hyperlink ref="H36" r:id="rId3" xr:uid="{00000000-0004-0000-0E00-000002000000}"/>
    <hyperlink ref="H34" r:id="rId4" xr:uid="{00000000-0004-0000-0E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tabColor rgb="FFC00000"/>
    <pageSetUpPr fitToPage="1"/>
  </sheetPr>
  <dimension ref="A1:K49"/>
  <sheetViews>
    <sheetView showGridLines="0" showRowColHeaders="0" zoomScaleNormal="100" workbookViewId="0">
      <selection activeCell="H34" sqref="H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194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35"/>
      <c r="C3" s="36"/>
      <c r="D3" s="94" t="s">
        <v>86</v>
      </c>
      <c r="E3" s="37">
        <v>336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38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8">
        <f>E3+E3*E4/100</f>
        <v>336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300</v>
      </c>
      <c r="D7" s="102" t="s">
        <v>20</v>
      </c>
      <c r="E7" s="102" t="s">
        <v>21</v>
      </c>
      <c r="F7" s="102" t="s">
        <v>22</v>
      </c>
      <c r="G7" s="4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0.2</v>
      </c>
      <c r="E8" s="89">
        <v>0.4</v>
      </c>
      <c r="F8" s="89">
        <v>0.2</v>
      </c>
      <c r="G8" s="74">
        <f>SUM(C8,D8,E8,F8)</f>
        <v>1</v>
      </c>
      <c r="H8" s="1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0.72</v>
      </c>
      <c r="E9" s="105">
        <v>0.96</v>
      </c>
      <c r="F9" s="105">
        <v>1.45</v>
      </c>
      <c r="G9" s="22"/>
    </row>
    <row r="10" spans="1:8" ht="12.75" customHeight="1" x14ac:dyDescent="0.25">
      <c r="A10" s="22"/>
      <c r="B10" s="50" t="s">
        <v>1</v>
      </c>
      <c r="C10" s="106">
        <f>+($E$5*C8)/C9</f>
        <v>140</v>
      </c>
      <c r="D10" s="107">
        <f>+($E$5*D8)/D9</f>
        <v>93.333333333333343</v>
      </c>
      <c r="E10" s="107">
        <f>+($E$5*E8)/E9</f>
        <v>140</v>
      </c>
      <c r="F10" s="107">
        <f>+($E$5*F8)/F9</f>
        <v>46.344827586206897</v>
      </c>
      <c r="G10" s="501" t="s">
        <v>89</v>
      </c>
      <c r="H10" s="501"/>
    </row>
    <row r="11" spans="1:8" ht="12.75" customHeight="1" x14ac:dyDescent="0.25">
      <c r="A11" s="22"/>
      <c r="B11" s="145" t="s">
        <v>67</v>
      </c>
      <c r="C11" s="104">
        <v>180</v>
      </c>
      <c r="D11" s="105">
        <v>84</v>
      </c>
      <c r="E11" s="105">
        <v>70</v>
      </c>
      <c r="F11" s="105">
        <v>40</v>
      </c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10.5</v>
      </c>
      <c r="E12" s="105">
        <v>10</v>
      </c>
      <c r="F12" s="105">
        <v>10</v>
      </c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11</v>
      </c>
      <c r="E13" s="105">
        <v>10</v>
      </c>
      <c r="F13" s="105">
        <v>10</v>
      </c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10</v>
      </c>
      <c r="E14" s="105">
        <v>10</v>
      </c>
      <c r="F14" s="105">
        <v>10</v>
      </c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IF(MOD(E10+E13,E11)&lt;=E13,ROUNDDOWN(E10/E11,0),ROUNDDOWN(E10/E11,0))</f>
        <v>2</v>
      </c>
      <c r="F15" s="65">
        <f>IF(MOD(F10+F13,F11)&lt;=F13,1+ROUNDDOWN(F10/F11,0),ROUNDDOWN(F10/F11,0))</f>
        <v>1</v>
      </c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12</v>
      </c>
      <c r="D16" s="119">
        <f>IF(ROUNDUP((D10-(D11*D15))/D12,0)&lt;0,0,ROUNDUP((D10-(D11*D15))/D12,0))</f>
        <v>1</v>
      </c>
      <c r="E16" s="131">
        <f>IF(ROUNDUP((E10-(E11*E15))/E12,0)&lt;0,0,ROUNDUP((E10-(E11*E15))/E12,0))</f>
        <v>0</v>
      </c>
      <c r="F16" s="131">
        <f>IF(ROUNDUP((F10-(F11*F15))/F12,0)&lt;0,0,ROUNDUP((F10-(F11*F15))/F12,0))</f>
        <v>1</v>
      </c>
      <c r="G16" s="22"/>
    </row>
    <row r="17" spans="1:11" ht="18" customHeight="1" x14ac:dyDescent="0.25">
      <c r="A17" s="22"/>
      <c r="B17" s="140" t="s">
        <v>65</v>
      </c>
      <c r="C17" s="123">
        <f>(C15*C11)+(ROUNDUP(C16/2,0)*C13)+(ROUNDDOWN(C16/2,0)*C14)</f>
        <v>144</v>
      </c>
      <c r="D17" s="123">
        <f>(D15*D11)+(ROUNDUP(D16/2,0)*D13)+(ROUNDDOWN(D16/2,0)*D14)</f>
        <v>95</v>
      </c>
      <c r="E17" s="132">
        <f>(E15*E11)+(ROUNDUP(E16/2,0)*E13)+(ROUNDDOWN(E16/2,0)*E14)</f>
        <v>140</v>
      </c>
      <c r="F17" s="132">
        <f>(F15*F11)+(ROUNDUP(F16/2,0)*F13)+(ROUNDDOWN(F16/2,0)*F14)</f>
        <v>50</v>
      </c>
      <c r="G17" s="22"/>
    </row>
    <row r="18" spans="1:11" ht="12.75" customHeight="1" x14ac:dyDescent="0.25">
      <c r="A18" s="22"/>
      <c r="B18" s="144" t="s">
        <v>70</v>
      </c>
      <c r="C18" s="25">
        <f>C11*C19</f>
        <v>2737.8</v>
      </c>
      <c r="D18" s="25">
        <f>D11*D19</f>
        <v>2426.34</v>
      </c>
      <c r="E18" s="25">
        <f>E11*E19</f>
        <v>2870.7</v>
      </c>
      <c r="F18" s="25">
        <f>F11*F19</f>
        <v>2399.1999999999998</v>
      </c>
      <c r="G18" s="22"/>
    </row>
    <row r="19" spans="1:11" ht="12.75" customHeight="1" x14ac:dyDescent="0.25">
      <c r="A19" s="22"/>
      <c r="B19" s="266" t="s">
        <v>69</v>
      </c>
      <c r="C19" s="32">
        <v>15.21</v>
      </c>
      <c r="D19" s="32">
        <v>28.885000000000002</v>
      </c>
      <c r="E19" s="32">
        <v>41.01</v>
      </c>
      <c r="F19" s="32">
        <v>59.98</v>
      </c>
      <c r="G19" s="22"/>
    </row>
    <row r="20" spans="1:11" ht="18" hidden="1" customHeight="1" x14ac:dyDescent="0.25">
      <c r="A20" s="22"/>
      <c r="B20" s="24" t="s">
        <v>71</v>
      </c>
      <c r="C20" s="25">
        <f>+C17*C9</f>
        <v>69.12</v>
      </c>
      <c r="D20" s="25">
        <f>+D17*D9</f>
        <v>68.399999999999991</v>
      </c>
      <c r="E20" s="25">
        <f>+E17*E9</f>
        <v>134.4</v>
      </c>
      <c r="F20" s="25">
        <f>+F17*F9</f>
        <v>72.5</v>
      </c>
      <c r="G20" s="22"/>
    </row>
    <row r="21" spans="1:11" ht="12.75" customHeight="1" x14ac:dyDescent="0.25">
      <c r="A21" s="22"/>
      <c r="B21" s="24"/>
      <c r="C21" s="25"/>
      <c r="D21" s="25"/>
      <c r="E21" s="25"/>
      <c r="F21" s="25"/>
      <c r="G21" s="22"/>
    </row>
    <row r="22" spans="1:11" ht="12.75" customHeight="1" x14ac:dyDescent="0.25">
      <c r="A22" s="22"/>
      <c r="B22" s="86" t="s">
        <v>88</v>
      </c>
      <c r="C22" s="25"/>
      <c r="D22" s="25"/>
      <c r="E22" s="25"/>
      <c r="F22" s="25"/>
      <c r="G22" s="22"/>
    </row>
    <row r="23" spans="1:11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11" ht="18" customHeight="1" x14ac:dyDescent="0.25">
      <c r="A24" s="44"/>
      <c r="B24" s="44"/>
      <c r="C24" s="243" t="s">
        <v>92</v>
      </c>
      <c r="D24" s="234">
        <f>SUM(C20:F20)</f>
        <v>344.41999999999996</v>
      </c>
      <c r="E24" s="244" t="s">
        <v>93</v>
      </c>
      <c r="F24" s="44"/>
      <c r="G24" s="44"/>
      <c r="H24" s="46"/>
      <c r="K24" s="22"/>
    </row>
    <row r="25" spans="1:11" ht="18" customHeight="1" x14ac:dyDescent="0.25">
      <c r="A25" s="39"/>
      <c r="B25" s="39"/>
      <c r="C25" s="69" t="s">
        <v>94</v>
      </c>
      <c r="D25" s="70">
        <f>ROUND(+D24/30,0)</f>
        <v>11</v>
      </c>
      <c r="E25" s="245" t="s">
        <v>4</v>
      </c>
      <c r="F25" s="39"/>
      <c r="G25" s="39"/>
      <c r="H25" s="35"/>
    </row>
    <row r="26" spans="1:11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1" ht="18" customHeight="1" x14ac:dyDescent="0.25">
      <c r="A27" s="44"/>
      <c r="B27" s="44"/>
      <c r="C27" s="243" t="s">
        <v>95</v>
      </c>
      <c r="D27" s="234">
        <f>SUM(C17*C19+D17*D19+E17*E19+F17*F19)</f>
        <v>13674.715</v>
      </c>
      <c r="E27" s="244" t="s">
        <v>3</v>
      </c>
      <c r="F27" s="44"/>
      <c r="G27" s="44"/>
      <c r="H27" s="46"/>
    </row>
    <row r="28" spans="1:11" s="11" customFormat="1" ht="12.75" customHeight="1" x14ac:dyDescent="0.25">
      <c r="A28" s="13"/>
      <c r="B28" s="13"/>
      <c r="C28" s="13"/>
      <c r="D28" s="13"/>
      <c r="E28" s="13"/>
      <c r="F28" s="13"/>
    </row>
    <row r="29" spans="1:11" s="11" customFormat="1" ht="12.75" customHeight="1" x14ac:dyDescent="0.25">
      <c r="A29" s="13"/>
      <c r="B29" s="13"/>
      <c r="C29" s="13"/>
      <c r="D29" s="13"/>
      <c r="E29" s="13"/>
      <c r="F29" s="13"/>
    </row>
    <row r="30" spans="1:11" s="11" customFormat="1" ht="12.75" customHeight="1" x14ac:dyDescent="0.25">
      <c r="A30" s="13"/>
      <c r="B30" s="13"/>
      <c r="C30" s="13"/>
      <c r="D30" s="13"/>
      <c r="F30" s="19"/>
    </row>
    <row r="31" spans="1:11" s="11" customFormat="1" ht="18" customHeight="1" x14ac:dyDescent="0.25">
      <c r="A31" s="13"/>
      <c r="B31" s="13"/>
      <c r="C31" s="13"/>
      <c r="D31" s="13"/>
      <c r="E31" s="13"/>
      <c r="F31" s="19"/>
      <c r="G31" s="13"/>
      <c r="H31" s="223" t="s">
        <v>9</v>
      </c>
    </row>
    <row r="32" spans="1:11" s="11" customFormat="1" ht="12.75" customHeight="1" x14ac:dyDescent="0.25">
      <c r="A32" s="13"/>
      <c r="B32" s="13"/>
      <c r="C32" s="13"/>
      <c r="D32" s="13"/>
      <c r="E32" s="13"/>
      <c r="F32" s="19"/>
      <c r="G32" s="13"/>
    </row>
    <row r="33" spans="1:8" s="11" customFormat="1" ht="12.75" customHeight="1" x14ac:dyDescent="0.25">
      <c r="A33" s="13"/>
      <c r="B33" s="13"/>
      <c r="C33" s="13"/>
      <c r="D33" s="13"/>
      <c r="E33" s="13"/>
      <c r="F33" s="19"/>
      <c r="G33" s="13"/>
      <c r="H33" s="224" t="s">
        <v>55</v>
      </c>
    </row>
    <row r="34" spans="1:8" s="11" customFormat="1" ht="12.75" customHeight="1" x14ac:dyDescent="0.25">
      <c r="A34" s="13"/>
      <c r="B34" s="13"/>
      <c r="C34" s="13"/>
      <c r="D34" s="13"/>
      <c r="E34" s="13"/>
      <c r="F34" s="19"/>
      <c r="G34" s="13"/>
      <c r="H34" s="199" t="s">
        <v>54</v>
      </c>
    </row>
    <row r="35" spans="1:8" s="11" customFormat="1" ht="12.75" customHeight="1" x14ac:dyDescent="0.25">
      <c r="A35" s="13"/>
      <c r="B35" s="13"/>
      <c r="C35" s="13"/>
      <c r="D35" s="13"/>
      <c r="E35" s="13"/>
      <c r="F35" s="19"/>
      <c r="H35" s="246"/>
    </row>
    <row r="36" spans="1:8" s="11" customFormat="1" ht="12.75" customHeight="1" x14ac:dyDescent="0.25">
      <c r="A36" s="13"/>
      <c r="B36" s="13"/>
      <c r="C36" s="13"/>
      <c r="D36" s="13"/>
      <c r="E36" s="13"/>
      <c r="F36" s="19"/>
      <c r="G36" s="13"/>
      <c r="H36" s="199" t="s">
        <v>6</v>
      </c>
    </row>
    <row r="37" spans="1:8" s="11" customFormat="1" ht="12.75" customHeight="1" x14ac:dyDescent="0.25">
      <c r="A37" s="13"/>
      <c r="B37" s="13"/>
      <c r="C37" s="13"/>
      <c r="D37" s="13"/>
      <c r="E37" s="13"/>
      <c r="F37" s="19"/>
      <c r="G37" s="13"/>
      <c r="H37" s="199" t="s">
        <v>58</v>
      </c>
    </row>
    <row r="38" spans="1:8" s="11" customFormat="1" ht="12.75" customHeight="1" x14ac:dyDescent="0.25">
      <c r="A38" s="13"/>
      <c r="B38" s="13"/>
      <c r="C38" s="13"/>
      <c r="D38" s="13"/>
      <c r="F38" s="20"/>
      <c r="G38" s="13"/>
      <c r="H38" s="199" t="s">
        <v>10</v>
      </c>
    </row>
    <row r="39" spans="1:8" s="11" customFormat="1" ht="12.75" customHeight="1" x14ac:dyDescent="0.25">
      <c r="A39" s="13"/>
      <c r="B39" s="13"/>
      <c r="C39" s="13"/>
      <c r="D39" s="13"/>
      <c r="F39" s="20"/>
      <c r="G39" s="13"/>
      <c r="H39" s="225" t="s">
        <v>7</v>
      </c>
    </row>
    <row r="40" spans="1:8" s="11" customFormat="1" ht="12.75" customHeight="1" x14ac:dyDescent="0.25">
      <c r="A40" s="13"/>
      <c r="B40" s="13"/>
      <c r="C40" s="13"/>
      <c r="D40" s="13"/>
      <c r="F40" s="20"/>
      <c r="G40" s="13"/>
    </row>
    <row r="41" spans="1:8" s="11" customFormat="1" ht="12.75" customHeight="1" x14ac:dyDescent="0.25">
      <c r="A41" s="13"/>
      <c r="B41" s="13"/>
      <c r="C41" s="13"/>
      <c r="D41" s="13"/>
      <c r="F41" s="20"/>
      <c r="G41" s="13"/>
    </row>
    <row r="42" spans="1:8" s="11" customFormat="1" ht="12.75" customHeight="1" x14ac:dyDescent="0.25">
      <c r="A42" s="13"/>
      <c r="B42" s="13"/>
      <c r="C42" s="13"/>
      <c r="D42" s="13"/>
      <c r="F42" s="20"/>
      <c r="G42" s="13"/>
    </row>
    <row r="43" spans="1:8" s="11" customFormat="1" ht="12.75" customHeight="1" x14ac:dyDescent="0.25">
      <c r="A43" s="13"/>
      <c r="B43" s="13"/>
      <c r="C43" s="13"/>
      <c r="D43" s="13"/>
      <c r="F43" s="21"/>
      <c r="G43" s="13"/>
    </row>
    <row r="44" spans="1:8" s="11" customFormat="1" ht="12.75" customHeight="1" x14ac:dyDescent="0.25">
      <c r="A44" s="13"/>
      <c r="B44" s="13"/>
      <c r="C44" s="13"/>
      <c r="D44" s="13"/>
      <c r="F44" s="21"/>
      <c r="G44" s="13"/>
    </row>
    <row r="45" spans="1:8" s="11" customFormat="1" ht="12.75" customHeight="1" x14ac:dyDescent="0.25">
      <c r="A45" s="13"/>
      <c r="B45" s="13"/>
      <c r="C45" s="13"/>
      <c r="D45" s="13"/>
      <c r="E45" s="13"/>
      <c r="F45" s="21"/>
      <c r="G45" s="13"/>
    </row>
    <row r="46" spans="1: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spans="1:7" x14ac:dyDescent="0.25">
      <c r="A49" s="22"/>
      <c r="G49" s="8"/>
    </row>
  </sheetData>
  <sheetProtection algorithmName="SHA-512" hashValue="9OelzuAO8S6scnv1u3u3AX8ltevBiyvczfFJkK244MM+cHxCVmzNSkEj4ZAn2/hncheNie8v6C2gdrwan7vNaw==" saltValue="2kTOyt0AZnOBqgyaEu9MIw==" spinCount="100000" sheet="1" selectLockedCells="1"/>
  <mergeCells count="3">
    <mergeCell ref="A1:H1"/>
    <mergeCell ref="G10:H15"/>
    <mergeCell ref="B26:G26"/>
  </mergeCells>
  <phoneticPr fontId="0" type="noConversion"/>
  <dataValidations xWindow="625" yWindow="190" count="1">
    <dataValidation type="whole" errorStyle="warning" allowBlank="1" showInputMessage="1" errorTitle=" " error=" " promptTitle="Typical Waste Allowance" prompt="Typical allowance required is 2-5%. Projects with a higher than average number of openings and corners may require a higher allowance.  " sqref="E4" xr:uid="{00000000-0002-0000-0F00-000000000000}">
      <formula1>5</formula1>
      <formula2>100</formula2>
    </dataValidation>
  </dataValidations>
  <hyperlinks>
    <hyperlink ref="H38" r:id="rId1" xr:uid="{00000000-0004-0000-0F00-000000000000}"/>
    <hyperlink ref="H37" r:id="rId2" xr:uid="{00000000-0004-0000-0F00-000001000000}"/>
    <hyperlink ref="H36" r:id="rId3" xr:uid="{00000000-0004-0000-0F00-000002000000}"/>
    <hyperlink ref="H34" r:id="rId4" xr:uid="{00000000-0004-0000-0F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tabColor rgb="FFC00000"/>
  </sheetPr>
  <dimension ref="A1:R60"/>
  <sheetViews>
    <sheetView showGridLines="0" showRowColHeaders="0" zoomScaleNormal="100" workbookViewId="0">
      <selection activeCell="E46" sqref="E4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3" width="12.33203125" style="23" customWidth="1"/>
    <col min="4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195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1000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5</v>
      </c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1050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296</v>
      </c>
      <c r="D7" s="146" t="s">
        <v>43</v>
      </c>
      <c r="E7" s="247"/>
      <c r="G7" s="4"/>
      <c r="H7" s="1"/>
    </row>
    <row r="8" spans="1:8" ht="18" customHeight="1" thickTop="1" x14ac:dyDescent="0.3">
      <c r="A8" s="22"/>
      <c r="B8" s="103" t="s">
        <v>11</v>
      </c>
      <c r="C8" s="88">
        <v>0.75</v>
      </c>
      <c r="D8" s="89">
        <v>0.25</v>
      </c>
      <c r="E8" s="74">
        <f>SUM(A8,B8,C8,D8)</f>
        <v>1</v>
      </c>
      <c r="G8" s="4"/>
      <c r="H8" s="1"/>
    </row>
    <row r="9" spans="1:8" ht="18.75" hidden="1" customHeight="1" x14ac:dyDescent="0.25">
      <c r="A9" s="22"/>
      <c r="B9" s="51" t="s">
        <v>66</v>
      </c>
      <c r="C9" s="263">
        <v>1.18055</v>
      </c>
      <c r="D9" s="105">
        <v>1.79</v>
      </c>
      <c r="E9" s="248"/>
      <c r="G9" s="22"/>
    </row>
    <row r="10" spans="1:8" ht="12.75" customHeight="1" x14ac:dyDescent="0.25">
      <c r="A10" s="22"/>
      <c r="B10" s="50" t="s">
        <v>1</v>
      </c>
      <c r="C10" s="106">
        <f>+($E$5*C8)/C9</f>
        <v>667.06196264453013</v>
      </c>
      <c r="D10" s="107">
        <f>+($E$5*D8)/D9</f>
        <v>146.64804469273741</v>
      </c>
      <c r="E10" s="264"/>
      <c r="G10" s="501" t="s">
        <v>307</v>
      </c>
      <c r="H10" s="501"/>
    </row>
    <row r="11" spans="1:8" ht="12.75" customHeight="1" x14ac:dyDescent="0.25">
      <c r="A11" s="22"/>
      <c r="B11" s="51" t="s">
        <v>67</v>
      </c>
      <c r="C11" s="104">
        <v>78</v>
      </c>
      <c r="D11" s="105">
        <v>39</v>
      </c>
      <c r="E11" s="265"/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13</v>
      </c>
      <c r="D12" s="138">
        <v>13</v>
      </c>
      <c r="E12" s="265"/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13</v>
      </c>
      <c r="D13" s="138">
        <v>13</v>
      </c>
      <c r="E13" s="265"/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13</v>
      </c>
      <c r="D14" s="138">
        <v>13</v>
      </c>
      <c r="E14" s="265"/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8</v>
      </c>
      <c r="D15" s="65">
        <f>IF(MOD(D10+D13,D11)&lt;=D13,1+ROUNDDOWN(D10/D11,0),ROUNDDOWN(D10/D11,0))</f>
        <v>4</v>
      </c>
      <c r="E15" s="265"/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0</v>
      </c>
      <c r="E16" s="265"/>
      <c r="G16" s="501"/>
      <c r="H16" s="501"/>
    </row>
    <row r="17" spans="1:18" ht="18" customHeight="1" x14ac:dyDescent="0.25">
      <c r="A17" s="22"/>
      <c r="B17" s="140" t="s">
        <v>65</v>
      </c>
      <c r="C17" s="123">
        <f>(C15*C11)+IF(OR(C16=3,C16=8,C16=13),(ROUNDUP(C16*0.67,0)*C13)+(ROUNDDOWN(C16*0.31,0)*C14),(ROUNDUP(C16*0.6,0)*C13)+(ROUNDDOWN(C16*0.4,0)*C14))</f>
        <v>676</v>
      </c>
      <c r="D17" s="123">
        <f>(D15*D11)+(ROUNDUP(D16/2,0)*D13)+(ROUNDDOWN(D16/2,0)*D14)</f>
        <v>156</v>
      </c>
      <c r="E17" s="265"/>
      <c r="G17" s="22"/>
    </row>
    <row r="18" spans="1:18" ht="12.75" customHeight="1" x14ac:dyDescent="0.25">
      <c r="A18" s="22"/>
      <c r="B18" s="143" t="s">
        <v>70</v>
      </c>
      <c r="C18" s="78">
        <v>3285</v>
      </c>
      <c r="D18" s="78">
        <f>D11*D19</f>
        <v>2717.442</v>
      </c>
      <c r="E18" s="25"/>
      <c r="G18" s="22"/>
    </row>
    <row r="19" spans="1:18" ht="12.75" hidden="1" customHeight="1" x14ac:dyDescent="0.25">
      <c r="A19" s="22"/>
      <c r="B19" s="217" t="s">
        <v>69</v>
      </c>
      <c r="C19" s="236">
        <v>42.12</v>
      </c>
      <c r="D19" s="236">
        <v>69.677999999999997</v>
      </c>
      <c r="E19" s="257"/>
      <c r="G19" s="22"/>
    </row>
    <row r="20" spans="1:18" ht="12.75" hidden="1" customHeight="1" x14ac:dyDescent="0.25">
      <c r="A20" s="22"/>
      <c r="B20" s="24" t="s">
        <v>71</v>
      </c>
      <c r="C20" s="25">
        <f>+C17*C9</f>
        <v>798.05179999999996</v>
      </c>
      <c r="D20" s="25">
        <f>+D17*D9</f>
        <v>279.24</v>
      </c>
      <c r="E20" s="161"/>
      <c r="G20" s="22"/>
    </row>
    <row r="21" spans="1:18" ht="12.75" customHeight="1" x14ac:dyDescent="0.25">
      <c r="A21" s="22"/>
      <c r="B21" s="24"/>
      <c r="C21" s="25"/>
      <c r="D21" s="25"/>
      <c r="E21" s="161"/>
      <c r="G21" s="22"/>
    </row>
    <row r="22" spans="1:18" ht="12.75" customHeight="1" x14ac:dyDescent="0.25">
      <c r="A22" s="22"/>
      <c r="B22" s="86" t="s">
        <v>88</v>
      </c>
      <c r="C22" s="25"/>
      <c r="D22" s="25"/>
      <c r="E22" s="161"/>
      <c r="G22" s="22"/>
    </row>
    <row r="23" spans="1:18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18" ht="18" customHeight="1" x14ac:dyDescent="0.25">
      <c r="A24" s="44"/>
      <c r="B24" s="44"/>
      <c r="C24" s="243" t="s">
        <v>92</v>
      </c>
      <c r="D24" s="234">
        <f>SUM(C20:D20)</f>
        <v>1077.2918</v>
      </c>
      <c r="E24" s="258" t="s">
        <v>44</v>
      </c>
      <c r="F24" s="44"/>
      <c r="G24" s="44"/>
      <c r="H24" s="46"/>
      <c r="K24" s="22"/>
    </row>
    <row r="25" spans="1:18" ht="18" customHeight="1" x14ac:dyDescent="0.25">
      <c r="A25" s="39"/>
      <c r="B25" s="39"/>
      <c r="C25" s="69" t="s">
        <v>94</v>
      </c>
      <c r="D25" s="70">
        <f>ROUND(+D24/35,0)</f>
        <v>31</v>
      </c>
      <c r="E25" s="73" t="s">
        <v>4</v>
      </c>
      <c r="F25" s="39"/>
      <c r="G25" s="39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4"/>
      <c r="B27" s="44"/>
      <c r="C27" s="243" t="s">
        <v>95</v>
      </c>
      <c r="D27" s="234">
        <f>SUM(C17*C19+D17*D19)</f>
        <v>39342.887999999999</v>
      </c>
      <c r="E27" s="258" t="s">
        <v>3</v>
      </c>
      <c r="F27" s="44"/>
      <c r="G27" s="44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s="17" customFormat="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58" ht="12.75" customHeight="1" x14ac:dyDescent="0.25"/>
    <row r="59" ht="12.75" customHeight="1" x14ac:dyDescent="0.25"/>
    <row r="60" ht="12.75" customHeight="1" x14ac:dyDescent="0.25"/>
  </sheetData>
  <sheetProtection algorithmName="SHA-512" hashValue="r1remUcGw2U52IyV2h0DKAzRSoIi6+2G/9CTNRY3dl30qE9+WYXumHRrRBJFqGg0vuJyMpq6/D3eucV2UFk6UA==" saltValue="A43vlgmCWnW7rWhpGKf8VQ==" spinCount="100000" sheet="1" selectLockedCells="1"/>
  <mergeCells count="3">
    <mergeCell ref="A1:H1"/>
    <mergeCell ref="B26:G26"/>
    <mergeCell ref="G10:H16"/>
  </mergeCells>
  <phoneticPr fontId="25" type="noConversion"/>
  <dataValidations xWindow="701" yWindow="198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100-000000000000}"/>
  </dataValidations>
  <hyperlinks>
    <hyperlink ref="H38" r:id="rId1" xr:uid="{00000000-0004-0000-1100-000000000000}"/>
    <hyperlink ref="H37" r:id="rId2" xr:uid="{00000000-0004-0000-1100-000001000000}"/>
    <hyperlink ref="H36" r:id="rId3" xr:uid="{00000000-0004-0000-1100-000002000000}"/>
    <hyperlink ref="H34" r:id="rId4" xr:uid="{00000000-0004-0000-11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8C1C-D512-4614-BDB7-9BD42459F860}">
  <sheetPr>
    <tabColor rgb="FFC00000"/>
  </sheetPr>
  <dimension ref="A1:R60"/>
  <sheetViews>
    <sheetView showGridLines="0" showRowColHeaders="0" zoomScale="91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306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296</v>
      </c>
      <c r="D7" s="146" t="s">
        <v>43</v>
      </c>
      <c r="E7" s="247"/>
      <c r="G7" s="4"/>
      <c r="H7" s="1"/>
    </row>
    <row r="8" spans="1:8" ht="18" customHeight="1" thickTop="1" x14ac:dyDescent="0.3">
      <c r="A8" s="22"/>
      <c r="B8" s="103" t="s">
        <v>11</v>
      </c>
      <c r="C8" s="88">
        <v>0.75</v>
      </c>
      <c r="D8" s="89">
        <v>0.25</v>
      </c>
      <c r="E8" s="74">
        <f>SUM(A8,B8,C8,D8)</f>
        <v>1</v>
      </c>
      <c r="G8" s="4"/>
      <c r="H8" s="1"/>
    </row>
    <row r="9" spans="1:8" ht="18.75" hidden="1" customHeight="1" x14ac:dyDescent="0.25">
      <c r="A9" s="22"/>
      <c r="B9" s="51" t="s">
        <v>66</v>
      </c>
      <c r="C9" s="263">
        <v>1.19</v>
      </c>
      <c r="D9" s="105">
        <v>1.79</v>
      </c>
      <c r="E9" s="248"/>
      <c r="G9" s="22"/>
    </row>
    <row r="10" spans="1:8" ht="12.75" customHeight="1" x14ac:dyDescent="0.25">
      <c r="A10" s="22"/>
      <c r="B10" s="50" t="s">
        <v>1</v>
      </c>
      <c r="C10" s="106">
        <f>+($E$5*C8)/C9</f>
        <v>126.05042016806723</v>
      </c>
      <c r="D10" s="107">
        <f>+($E$5*D8)/D9</f>
        <v>27.932960893854748</v>
      </c>
      <c r="E10" s="264"/>
      <c r="G10" s="501" t="s">
        <v>89</v>
      </c>
      <c r="H10" s="501"/>
    </row>
    <row r="11" spans="1:8" ht="12.75" customHeight="1" x14ac:dyDescent="0.25">
      <c r="A11" s="22"/>
      <c r="B11" s="51" t="s">
        <v>67</v>
      </c>
      <c r="C11" s="104">
        <v>78</v>
      </c>
      <c r="D11" s="105">
        <v>39</v>
      </c>
      <c r="E11" s="265"/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13</v>
      </c>
      <c r="D12" s="138">
        <v>13</v>
      </c>
      <c r="E12" s="265"/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13</v>
      </c>
      <c r="D13" s="138">
        <v>13</v>
      </c>
      <c r="E13" s="265"/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13</v>
      </c>
      <c r="D14" s="138">
        <v>13</v>
      </c>
      <c r="E14" s="265"/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1</v>
      </c>
      <c r="D15" s="65">
        <f>IF(MOD(D10+D13,D11)&lt;=D13,1+ROUNDDOWN(D10/D11,0),ROUNDDOWN(D10/D11,0))</f>
        <v>1</v>
      </c>
      <c r="E15" s="265"/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0</v>
      </c>
      <c r="E16" s="265"/>
      <c r="G16" s="22"/>
    </row>
    <row r="17" spans="1:18" ht="18" customHeight="1" x14ac:dyDescent="0.25">
      <c r="A17" s="22"/>
      <c r="B17" s="140" t="s">
        <v>65</v>
      </c>
      <c r="C17" s="457">
        <f>(C15*C11)+IF(OR(C16=3,C16=8,C16=13),(ROUNDUP(C16*0.67,0)*C13)+(ROUNDDOWN(C16*0.31,0)*C14),(ROUNDUP(C16*0.6,0)*C13)+(ROUNDDOWN(C16*0.4,0)*C14))</f>
        <v>130</v>
      </c>
      <c r="D17" s="457">
        <f>(D15*D11)+(ROUNDUP(D16/2,0)*D13)+(ROUNDDOWN(D16/2,0)*D14)</f>
        <v>39</v>
      </c>
      <c r="E17" s="265"/>
      <c r="G17" s="524" t="s">
        <v>305</v>
      </c>
      <c r="H17" s="524"/>
    </row>
    <row r="18" spans="1:18" ht="12.75" customHeight="1" x14ac:dyDescent="0.25">
      <c r="A18" s="22"/>
      <c r="B18" s="143" t="s">
        <v>70</v>
      </c>
      <c r="C18" s="78">
        <f>C11*C19</f>
        <v>3285.3599999999997</v>
      </c>
      <c r="D18" s="78">
        <f>D11*D19</f>
        <v>2717.442</v>
      </c>
      <c r="E18" s="25"/>
      <c r="G18" s="524"/>
      <c r="H18" s="524"/>
    </row>
    <row r="19" spans="1:18" ht="12.75" customHeight="1" x14ac:dyDescent="0.25">
      <c r="A19" s="22"/>
      <c r="B19" s="217" t="s">
        <v>69</v>
      </c>
      <c r="C19" s="236">
        <v>42.12</v>
      </c>
      <c r="D19" s="236">
        <v>69.677999999999997</v>
      </c>
      <c r="E19" s="257"/>
      <c r="G19" s="524"/>
      <c r="H19" s="524"/>
    </row>
    <row r="20" spans="1:18" ht="12.75" hidden="1" customHeight="1" x14ac:dyDescent="0.25">
      <c r="A20" s="22"/>
      <c r="B20" s="24" t="s">
        <v>71</v>
      </c>
      <c r="C20" s="25">
        <f>+C17*C9</f>
        <v>154.69999999999999</v>
      </c>
      <c r="D20" s="25">
        <f>+D17*D9</f>
        <v>69.81</v>
      </c>
      <c r="E20" s="161"/>
      <c r="G20" s="22"/>
    </row>
    <row r="21" spans="1:18" ht="12.75" customHeight="1" x14ac:dyDescent="0.25">
      <c r="A21" s="22"/>
      <c r="B21" s="24"/>
      <c r="C21" s="25"/>
      <c r="D21" s="25"/>
      <c r="E21" s="161"/>
      <c r="G21" s="22"/>
    </row>
    <row r="22" spans="1:18" ht="12.75" customHeight="1" x14ac:dyDescent="0.25">
      <c r="A22" s="22"/>
      <c r="B22" s="86" t="s">
        <v>88</v>
      </c>
      <c r="C22" s="25"/>
      <c r="D22" s="25"/>
      <c r="E22" s="161"/>
      <c r="G22" s="22"/>
    </row>
    <row r="23" spans="1:18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18" ht="18" customHeight="1" x14ac:dyDescent="0.25">
      <c r="A24" s="44"/>
      <c r="B24" s="44"/>
      <c r="C24" s="243" t="s">
        <v>92</v>
      </c>
      <c r="D24" s="234">
        <f>SUM(C20:D20)</f>
        <v>224.51</v>
      </c>
      <c r="E24" s="258" t="s">
        <v>44</v>
      </c>
      <c r="F24" s="44"/>
      <c r="G24" s="44"/>
      <c r="H24" s="46"/>
      <c r="K24" s="22"/>
    </row>
    <row r="25" spans="1:18" ht="18" customHeight="1" x14ac:dyDescent="0.25">
      <c r="A25" s="39"/>
      <c r="B25" s="39"/>
      <c r="C25" s="69" t="s">
        <v>94</v>
      </c>
      <c r="D25" s="70">
        <f>ROUND(+D24/35,0)</f>
        <v>6</v>
      </c>
      <c r="E25" s="73" t="s">
        <v>4</v>
      </c>
      <c r="F25" s="39"/>
      <c r="G25" s="39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4"/>
      <c r="B27" s="44"/>
      <c r="C27" s="243" t="s">
        <v>95</v>
      </c>
      <c r="D27" s="234">
        <f>SUM(C17*C19+D17*D19)</f>
        <v>8193.0419999999995</v>
      </c>
      <c r="E27" s="258" t="s">
        <v>3</v>
      </c>
      <c r="F27" s="44"/>
      <c r="G27" s="44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s="17" customFormat="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58" ht="12.75" customHeight="1" x14ac:dyDescent="0.25"/>
    <row r="59" ht="12.75" customHeight="1" x14ac:dyDescent="0.25"/>
    <row r="60" ht="12.75" customHeight="1" x14ac:dyDescent="0.25"/>
  </sheetData>
  <sheetProtection algorithmName="SHA-512" hashValue="JW4FzkEwBKeoT+3oVPnd3s+hq1d1kSEGHxRqoXKzkscMMZpM0X+GwLmFcfgNLKlafUFE28G5zRburD6PrTN7Xg==" saltValue="9zxIkir4EUI5/2sBou/plg==" spinCount="100000" sheet="1" selectLockedCells="1"/>
  <mergeCells count="4">
    <mergeCell ref="A1:H1"/>
    <mergeCell ref="G10:H15"/>
    <mergeCell ref="B26:G26"/>
    <mergeCell ref="G17:H19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C17379A0-342D-460A-AB94-69B4191B221C}"/>
  </dataValidations>
  <hyperlinks>
    <hyperlink ref="H38" r:id="rId1" xr:uid="{3FCB394F-25A3-4B91-993B-3AF996AE351F}"/>
    <hyperlink ref="H37" r:id="rId2" xr:uid="{59FB0291-3E1B-478B-BF56-D2DC7FB9799D}"/>
    <hyperlink ref="H36" r:id="rId3" xr:uid="{4698A9AA-AD3F-42B0-9179-3781278A01AA}"/>
    <hyperlink ref="H34" r:id="rId4" xr:uid="{454995E5-0E9D-4B18-8279-DE8EFE4119FF}"/>
  </hyperlinks>
  <pageMargins left="0.75" right="0.75" top="1" bottom="1" header="0.5" footer="0.5"/>
  <pageSetup orientation="portrait" r:id="rId5"/>
  <headerFooter alignWithMargins="0"/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C00000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196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300</v>
      </c>
      <c r="D7" s="102" t="s">
        <v>46</v>
      </c>
      <c r="E7" s="102" t="s">
        <v>47</v>
      </c>
      <c r="F7" s="203"/>
      <c r="G7" s="4"/>
      <c r="H7" s="1"/>
    </row>
    <row r="8" spans="1:8" ht="18" customHeight="1" thickTop="1" x14ac:dyDescent="0.3">
      <c r="A8" s="22"/>
      <c r="B8" s="103" t="s">
        <v>11</v>
      </c>
      <c r="C8" s="88">
        <v>0.25</v>
      </c>
      <c r="D8" s="89">
        <v>0.5</v>
      </c>
      <c r="E8" s="89">
        <v>0.25</v>
      </c>
      <c r="F8" s="74">
        <f>SUM(A8:E8)</f>
        <v>1</v>
      </c>
      <c r="G8" s="4"/>
      <c r="H8" s="1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0.96</v>
      </c>
      <c r="E9" s="105">
        <v>1.45</v>
      </c>
      <c r="F9" s="203"/>
      <c r="G9" s="22"/>
    </row>
    <row r="10" spans="1:8" ht="12.75" customHeight="1" x14ac:dyDescent="0.25">
      <c r="A10" s="22"/>
      <c r="B10" s="50" t="s">
        <v>1</v>
      </c>
      <c r="C10" s="106">
        <f>+($E$5*C8)/C9</f>
        <v>104.16666666666667</v>
      </c>
      <c r="D10" s="107">
        <f>+($E$5*D8)/D9</f>
        <v>104.16666666666667</v>
      </c>
      <c r="E10" s="107">
        <f>+($E$5*E8)/E9</f>
        <v>34.482758620689658</v>
      </c>
      <c r="F10" s="203"/>
      <c r="G10" s="501" t="s">
        <v>89</v>
      </c>
      <c r="H10" s="501"/>
    </row>
    <row r="11" spans="1:8" ht="12.75" customHeight="1" x14ac:dyDescent="0.25">
      <c r="A11" s="22"/>
      <c r="B11" s="51" t="s">
        <v>67</v>
      </c>
      <c r="C11" s="104">
        <v>180</v>
      </c>
      <c r="D11" s="105">
        <v>80</v>
      </c>
      <c r="E11" s="105">
        <v>46</v>
      </c>
      <c r="F11" s="203"/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12</v>
      </c>
      <c r="E12" s="105">
        <v>11.5</v>
      </c>
      <c r="F12" s="203"/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12</v>
      </c>
      <c r="E13" s="105">
        <v>11</v>
      </c>
      <c r="F13" s="203"/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12</v>
      </c>
      <c r="E14" s="105">
        <v>12</v>
      </c>
      <c r="F14" s="203"/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0</v>
      </c>
      <c r="F15" s="203"/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9</v>
      </c>
      <c r="D16" s="119">
        <f>IF(ROUNDUP((D10-(D11*D15))/D12,0)&lt;0,0,ROUNDUP((D10-(D11*D15))/D12,0))</f>
        <v>3</v>
      </c>
      <c r="E16" s="119">
        <f>IF(ROUNDUP((E10-(E11*E15))/E12,0)&lt;0,0,ROUNDUP((E10-(E11*E15))/E12,0))</f>
        <v>3</v>
      </c>
      <c r="F16" s="203"/>
      <c r="G16" s="22"/>
    </row>
    <row r="17" spans="1:18" ht="18" customHeight="1" x14ac:dyDescent="0.25">
      <c r="A17" s="22"/>
      <c r="B17" s="140" t="s">
        <v>65</v>
      </c>
      <c r="C17" s="123">
        <f>(C15*C11)+(ROUNDUP(C16/2,0)*C13)+(ROUNDDOWN(C16/2,0)*C14)</f>
        <v>108</v>
      </c>
      <c r="D17" s="123">
        <f>(D15*D11)+(ROUNDUP(D16/2,0)*D13)+(ROUNDDOWN(D16/2,0)*D14)</f>
        <v>116</v>
      </c>
      <c r="E17" s="123">
        <f>(E15*E11)+(ROUNDUP(E16/2,0)*E13)+(ROUNDDOWN(E16/2,0)*E14)</f>
        <v>34</v>
      </c>
      <c r="F17" s="203"/>
      <c r="G17" s="22"/>
    </row>
    <row r="18" spans="1:18" ht="12.75" customHeight="1" x14ac:dyDescent="0.25">
      <c r="A18" s="22"/>
      <c r="B18" s="143" t="s">
        <v>70</v>
      </c>
      <c r="C18" s="78">
        <f>C11*C19</f>
        <v>2734.6409999999996</v>
      </c>
      <c r="D18" s="78">
        <f>D11*D19</f>
        <v>2863.2</v>
      </c>
      <c r="E18" s="78">
        <f>E11*E19</f>
        <v>2505.16</v>
      </c>
      <c r="G18" s="22"/>
    </row>
    <row r="19" spans="1:18" ht="12.75" customHeight="1" x14ac:dyDescent="0.25">
      <c r="A19" s="22"/>
      <c r="B19" s="217" t="s">
        <v>69</v>
      </c>
      <c r="C19" s="236">
        <v>15.192449999999999</v>
      </c>
      <c r="D19" s="236">
        <v>35.79</v>
      </c>
      <c r="E19" s="236">
        <v>54.46</v>
      </c>
      <c r="G19" s="22"/>
    </row>
    <row r="20" spans="1:18" ht="12.75" hidden="1" customHeight="1" x14ac:dyDescent="0.25">
      <c r="A20" s="22"/>
      <c r="B20" s="219" t="s">
        <v>71</v>
      </c>
      <c r="C20" s="78">
        <f>+C17*C9</f>
        <v>51.839999999999996</v>
      </c>
      <c r="D20" s="78">
        <f>+D17*D9</f>
        <v>111.36</v>
      </c>
      <c r="E20" s="78">
        <f>+E17*E9</f>
        <v>49.3</v>
      </c>
      <c r="G20" s="22"/>
    </row>
    <row r="21" spans="1:18" ht="12.75" customHeight="1" x14ac:dyDescent="0.25">
      <c r="A21" s="22"/>
      <c r="B21" s="22"/>
      <c r="C21" s="22"/>
      <c r="D21" s="22"/>
      <c r="E21" s="22"/>
      <c r="F21" s="22"/>
      <c r="G21" s="22"/>
    </row>
    <row r="22" spans="1:18" ht="12.75" customHeight="1" x14ac:dyDescent="0.25">
      <c r="A22" s="22"/>
      <c r="B22" s="86" t="s">
        <v>88</v>
      </c>
      <c r="C22" s="22"/>
      <c r="D22" s="22"/>
      <c r="E22" s="22"/>
      <c r="F22" s="22"/>
      <c r="G22" s="22"/>
    </row>
    <row r="23" spans="1:18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18" ht="18" customHeight="1" x14ac:dyDescent="0.25">
      <c r="A24" s="44"/>
      <c r="B24" s="44"/>
      <c r="C24" s="243" t="s">
        <v>92</v>
      </c>
      <c r="D24" s="234">
        <f>SUM(C20:E20)</f>
        <v>212.5</v>
      </c>
      <c r="E24" s="258" t="s">
        <v>48</v>
      </c>
      <c r="F24" s="44"/>
      <c r="G24" s="44"/>
      <c r="H24" s="46"/>
      <c r="K24" s="22"/>
    </row>
    <row r="25" spans="1:18" ht="18" customHeight="1" x14ac:dyDescent="0.25">
      <c r="A25" s="39"/>
      <c r="B25" s="39"/>
      <c r="C25" s="69" t="s">
        <v>94</v>
      </c>
      <c r="D25" s="70">
        <f>ROUND(+D24/35,0)</f>
        <v>6</v>
      </c>
      <c r="E25" s="245" t="s">
        <v>4</v>
      </c>
      <c r="F25" s="39"/>
      <c r="G25" s="39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4"/>
      <c r="B27" s="44"/>
      <c r="C27" s="243" t="s">
        <v>95</v>
      </c>
      <c r="D27" s="234">
        <f>SUM(C17*C19+D17*D19+E17*E19)</f>
        <v>7644.0646000000006</v>
      </c>
      <c r="E27" s="258" t="s">
        <v>3</v>
      </c>
      <c r="F27" s="44"/>
      <c r="G27" s="44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s="17" customFormat="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s="17" customFormat="1" ht="21" customHeight="1" x14ac:dyDescent="0.25">
      <c r="A47" s="12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s="17" customFormat="1" ht="21" customHeight="1" x14ac:dyDescent="0.25">
      <c r="A48" s="1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</row>
  </sheetData>
  <sheetProtection algorithmName="SHA-512" hashValue="jPaAA/4ujvWP5tTXYSaxHKFmJ/tyLYbfipM1cd9FYli48q8UBvZFPHlIVnr3HcaHR77a7MckFCpbrc7T71/i/Q==" saltValue="BMAzJYTdCLBsUthy7JDz8A==" spinCount="100000" sheet="1" selectLockedCells="1"/>
  <mergeCells count="3">
    <mergeCell ref="A1:H1"/>
    <mergeCell ref="G10:H15"/>
    <mergeCell ref="B26:G26"/>
  </mergeCells>
  <phoneticPr fontId="25" type="noConversion"/>
  <dataValidations disablePrompts="1" xWindow="627" yWindow="192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200-000000000000}"/>
  </dataValidations>
  <hyperlinks>
    <hyperlink ref="H38" r:id="rId1" xr:uid="{00000000-0004-0000-1200-000000000000}"/>
    <hyperlink ref="H37" r:id="rId2" xr:uid="{00000000-0004-0000-1200-000001000000}"/>
    <hyperlink ref="H36" r:id="rId3" xr:uid="{00000000-0004-0000-1200-000002000000}"/>
    <hyperlink ref="H34" r:id="rId4" xr:uid="{00000000-0004-0000-12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tabColor rgb="FFC00000"/>
  </sheetPr>
  <dimension ref="A1:AP54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197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32</v>
      </c>
      <c r="D7" s="227" t="s">
        <v>33</v>
      </c>
      <c r="E7" s="228" t="s">
        <v>34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0.48</v>
      </c>
      <c r="D9" s="230">
        <v>0.96</v>
      </c>
      <c r="E9" s="206">
        <v>1.45</v>
      </c>
      <c r="F9" s="203"/>
    </row>
    <row r="10" spans="1:8" ht="12.75" customHeight="1" x14ac:dyDescent="0.25">
      <c r="B10" s="207" t="s">
        <v>1</v>
      </c>
      <c r="C10" s="208">
        <f>+(E5*C8)/C9</f>
        <v>83.333333333333343</v>
      </c>
      <c r="D10" s="231">
        <f>+(E5*D8)/D9</f>
        <v>104.16666666666667</v>
      </c>
      <c r="E10" s="208">
        <f>+(E5*E8)/E9</f>
        <v>41.379310344827587</v>
      </c>
      <c r="F10" s="203"/>
      <c r="G10" s="501" t="s">
        <v>89</v>
      </c>
      <c r="H10" s="501"/>
    </row>
    <row r="11" spans="1:8" ht="12.75" customHeight="1" x14ac:dyDescent="0.25">
      <c r="B11" s="209" t="s">
        <v>67</v>
      </c>
      <c r="C11" s="206">
        <v>148</v>
      </c>
      <c r="D11" s="230">
        <v>74</v>
      </c>
      <c r="E11" s="206">
        <v>45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10.6</v>
      </c>
      <c r="D12" s="138">
        <v>10.6</v>
      </c>
      <c r="E12" s="105">
        <v>9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11</v>
      </c>
      <c r="D13" s="138">
        <v>11</v>
      </c>
      <c r="E13" s="105">
        <v>9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138">
        <v>10</v>
      </c>
      <c r="D14" s="138">
        <v>10</v>
      </c>
      <c r="E14" s="105">
        <v>9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3</v>
      </c>
      <c r="E16" s="119">
        <f>IF(ROUNDUP((E10-(E11*E15))/E12,0)&lt;0,0,ROUNDUP((E10-(E11*E15))/E12,0))</f>
        <v>0</v>
      </c>
      <c r="F16" s="232"/>
      <c r="G16" s="155"/>
      <c r="H16" s="155"/>
    </row>
    <row r="17" spans="1:42" ht="18" customHeight="1" x14ac:dyDescent="0.25">
      <c r="B17" s="140" t="s">
        <v>65</v>
      </c>
      <c r="C17" s="123">
        <f>(C15*C11)+IF(OR(C16=3,C16=8,C16=13),(ROUNDUP(C16*0.67,0)*C13)+(ROUNDDOWN(C16*0.31,0)*C14),(ROUNDUP(C16*0.6,0)*C13)+(ROUNDDOWN(C16*0.4,0)*C14))</f>
        <v>86</v>
      </c>
      <c r="D17" s="123">
        <f>(D15*D11)+(ROUNDUP(D16/2,0)*D13)+(ROUNDDOWN(D16/2,0)*D14)</f>
        <v>106</v>
      </c>
      <c r="E17" s="123">
        <f>(E15*E11)+(ROUNDUP(E16/2,0)*E13)+(ROUNDDOWN(E16/2,0)*E14)</f>
        <v>45</v>
      </c>
      <c r="F17" s="232"/>
      <c r="G17" s="155"/>
      <c r="H17" s="155"/>
    </row>
    <row r="18" spans="1:42" ht="12.75" customHeight="1" x14ac:dyDescent="0.25">
      <c r="B18" s="143" t="s">
        <v>70</v>
      </c>
      <c r="C18" s="78">
        <f>C11*C19</f>
        <v>2675.8399999999997</v>
      </c>
      <c r="D18" s="78">
        <f>D11*D19</f>
        <v>2855.4749999999999</v>
      </c>
      <c r="E18" s="78">
        <f>E11*E19</f>
        <v>2758.4549999999999</v>
      </c>
      <c r="F18" s="203"/>
      <c r="G18" s="156"/>
      <c r="H18" s="156"/>
    </row>
    <row r="19" spans="1:42" ht="12.75" customHeight="1" x14ac:dyDescent="0.25">
      <c r="B19" s="217" t="s">
        <v>69</v>
      </c>
      <c r="C19" s="236">
        <v>18.079999999999998</v>
      </c>
      <c r="D19" s="236">
        <v>38.587499999999999</v>
      </c>
      <c r="E19" s="236">
        <v>61.298999999999999</v>
      </c>
      <c r="F19" s="203"/>
      <c r="G19" s="156"/>
      <c r="H19" s="156"/>
    </row>
    <row r="20" spans="1:42" ht="12.75" hidden="1" customHeight="1" x14ac:dyDescent="0.25">
      <c r="B20" s="219" t="s">
        <v>71</v>
      </c>
      <c r="C20" s="78">
        <f>+C17*C9</f>
        <v>41.28</v>
      </c>
      <c r="D20" s="78">
        <f>+D17*D9</f>
        <v>101.75999999999999</v>
      </c>
      <c r="E20" s="78">
        <f>+E17*E9</f>
        <v>65.25</v>
      </c>
      <c r="F20" s="203"/>
      <c r="G20" s="156"/>
      <c r="H20" s="156"/>
    </row>
    <row r="21" spans="1:42" ht="12.75" customHeight="1" x14ac:dyDescent="0.25">
      <c r="B21" s="262"/>
      <c r="C21" s="215"/>
      <c r="D21" s="215"/>
      <c r="E21" s="215"/>
      <c r="F21" s="203"/>
      <c r="G21" s="155"/>
      <c r="H21" s="155"/>
    </row>
    <row r="22" spans="1:42" ht="12.75" customHeight="1" x14ac:dyDescent="0.25">
      <c r="B22" s="77" t="s">
        <v>198</v>
      </c>
      <c r="C22" s="215"/>
      <c r="D22" s="215"/>
      <c r="E22" s="215"/>
      <c r="F22" s="203"/>
    </row>
    <row r="23" spans="1:42" ht="12.75" customHeight="1" x14ac:dyDescent="0.25">
      <c r="B23" s="261" t="s">
        <v>199</v>
      </c>
      <c r="C23" s="215"/>
      <c r="D23" s="215"/>
      <c r="E23" s="215"/>
      <c r="F23" s="203"/>
    </row>
    <row r="24" spans="1:42" ht="12.75" customHeight="1" x14ac:dyDescent="0.25">
      <c r="B24" s="86" t="s">
        <v>88</v>
      </c>
      <c r="C24" s="215"/>
      <c r="D24" s="215"/>
      <c r="E24" s="215"/>
      <c r="F24" s="203"/>
    </row>
    <row r="25" spans="1:42" ht="12.75" customHeight="1" x14ac:dyDescent="0.25">
      <c r="B25" s="87" t="s">
        <v>49</v>
      </c>
      <c r="C25" s="215"/>
      <c r="D25" s="215"/>
      <c r="E25" s="215"/>
      <c r="F25" s="203"/>
    </row>
    <row r="26" spans="1:42" ht="18" customHeight="1" x14ac:dyDescent="0.25">
      <c r="A26" s="46"/>
      <c r="B26" s="46"/>
      <c r="C26" s="233" t="s">
        <v>92</v>
      </c>
      <c r="D26" s="234">
        <f>SUM(C20:E20)</f>
        <v>208.29</v>
      </c>
      <c r="E26" s="235" t="s">
        <v>17</v>
      </c>
      <c r="F26" s="46"/>
      <c r="G26" s="46"/>
      <c r="H26" s="46"/>
    </row>
    <row r="27" spans="1:42" ht="18" customHeight="1" x14ac:dyDescent="0.25">
      <c r="A27" s="35"/>
      <c r="B27" s="35"/>
      <c r="C27" s="220" t="s">
        <v>94</v>
      </c>
      <c r="D27" s="70">
        <f>ROUND(+D26/35,0)</f>
        <v>6</v>
      </c>
      <c r="E27" s="226" t="s">
        <v>4</v>
      </c>
      <c r="F27" s="35"/>
      <c r="G27" s="35"/>
      <c r="H27" s="35"/>
    </row>
    <row r="28" spans="1:42" ht="12.75" customHeight="1" x14ac:dyDescent="0.25">
      <c r="A28" s="39"/>
      <c r="B28" s="498" t="s">
        <v>8</v>
      </c>
      <c r="C28" s="498"/>
      <c r="D28" s="498"/>
      <c r="E28" s="498"/>
      <c r="F28" s="498"/>
      <c r="G28" s="498"/>
      <c r="H28" s="35"/>
    </row>
    <row r="29" spans="1:42" ht="18" customHeight="1" x14ac:dyDescent="0.25">
      <c r="A29" s="46"/>
      <c r="B29" s="46"/>
      <c r="C29" s="233" t="s">
        <v>95</v>
      </c>
      <c r="D29" s="234">
        <f>SUM(C17*C19+D17*D19+E17*E19)</f>
        <v>8403.61</v>
      </c>
      <c r="E29" s="235" t="s">
        <v>3</v>
      </c>
      <c r="F29" s="46"/>
      <c r="G29" s="46"/>
      <c r="H29" s="46"/>
    </row>
    <row r="30" spans="1:4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7" customFormat="1" ht="17.399999999999999" x14ac:dyDescent="0.25">
      <c r="A33" s="23"/>
      <c r="B33" s="23"/>
      <c r="C33" s="23"/>
      <c r="D33" s="23"/>
      <c r="E33" s="23"/>
      <c r="F33" s="23"/>
      <c r="G33" s="23"/>
      <c r="H33" s="223" t="s">
        <v>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24" t="s">
        <v>55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54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99" t="s">
        <v>58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199" t="s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25" t="s">
        <v>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7" customFormat="1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2.75" customHeight="1" x14ac:dyDescent="0.25"/>
    <row r="51" spans="1:42" ht="12.75" customHeight="1" x14ac:dyDescent="0.25"/>
    <row r="52" spans="1:42" ht="12.75" customHeight="1" x14ac:dyDescent="0.25"/>
    <row r="53" spans="1:42" ht="12.75" customHeight="1" x14ac:dyDescent="0.25"/>
    <row r="54" spans="1:42" ht="12.75" customHeight="1" x14ac:dyDescent="0.25"/>
  </sheetData>
  <sheetProtection algorithmName="SHA-512" hashValue="si2AEP+QungQXc21zfYHW7Keu1DVAvMZ1dhonFwB+PcfO/V2RsPcu09g3FesU0n1cHe2rhhJ6AYC3HKj8/Jknw==" saltValue="2cRieMNfzWgHHO56cE6JjA==" spinCount="100000" sheet="1" selectLockedCells="1"/>
  <mergeCells count="3">
    <mergeCell ref="A1:H1"/>
    <mergeCell ref="G10:H15"/>
    <mergeCell ref="B28:G28"/>
  </mergeCells>
  <phoneticPr fontId="0" type="noConversion"/>
  <dataValidations disablePrompts="1" xWindow="636" yWindow="144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300-000000000000}"/>
  </dataValidations>
  <hyperlinks>
    <hyperlink ref="H40" r:id="rId1" xr:uid="{00000000-0004-0000-1300-000000000000}"/>
    <hyperlink ref="H39" r:id="rId2" xr:uid="{00000000-0004-0000-1300-000001000000}"/>
    <hyperlink ref="H38" r:id="rId3" xr:uid="{00000000-0004-0000-1300-000002000000}"/>
    <hyperlink ref="H36" r:id="rId4" xr:uid="{00000000-0004-0000-1300-000003000000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8"/>
  </sheetPr>
  <dimension ref="A1:PI102"/>
  <sheetViews>
    <sheetView showGridLines="0" showRowColHeaders="0" zoomScaleNormal="100" zoomScaleSheetLayoutView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12" s="93" customFormat="1" ht="24" customHeight="1" x14ac:dyDescent="0.3">
      <c r="A1" s="496" t="s">
        <v>162</v>
      </c>
      <c r="B1" s="496"/>
      <c r="C1" s="496"/>
      <c r="D1" s="496"/>
      <c r="E1" s="496"/>
      <c r="F1" s="496"/>
      <c r="G1" s="496"/>
      <c r="H1" s="496"/>
    </row>
    <row r="2" spans="1:12" ht="12.75" customHeight="1" x14ac:dyDescent="0.25">
      <c r="A2" s="22"/>
      <c r="B2" s="22"/>
      <c r="C2" s="22"/>
      <c r="D2" s="22"/>
      <c r="E2" s="22"/>
      <c r="F2" s="22"/>
      <c r="G2" s="22"/>
    </row>
    <row r="3" spans="1:12" s="3" customFormat="1" ht="18" customHeight="1" x14ac:dyDescent="0.3">
      <c r="A3" s="2"/>
      <c r="B3" s="35"/>
      <c r="C3" s="36"/>
      <c r="D3" s="94" t="s">
        <v>86</v>
      </c>
      <c r="E3" s="96">
        <v>200</v>
      </c>
      <c r="F3" s="2"/>
      <c r="G3" s="2"/>
    </row>
    <row r="4" spans="1:12" s="3" customFormat="1" ht="18" customHeight="1" x14ac:dyDescent="0.3">
      <c r="A4" s="2"/>
      <c r="B4" s="35"/>
      <c r="C4" s="36"/>
      <c r="D4" s="95" t="s">
        <v>13</v>
      </c>
      <c r="E4" s="97">
        <v>0</v>
      </c>
      <c r="F4" s="2"/>
      <c r="G4" s="2"/>
    </row>
    <row r="5" spans="1:12" s="3" customFormat="1" ht="18" customHeight="1" x14ac:dyDescent="0.3">
      <c r="A5" s="2"/>
      <c r="B5" s="35"/>
      <c r="C5" s="36"/>
      <c r="D5" s="95" t="s">
        <v>85</v>
      </c>
      <c r="E5" s="344">
        <f>E3+E3*E4/100</f>
        <v>200</v>
      </c>
      <c r="F5" s="2"/>
      <c r="G5" s="2"/>
    </row>
    <row r="6" spans="1:12" ht="12.75" customHeight="1" x14ac:dyDescent="0.25">
      <c r="A6" s="22"/>
      <c r="B6" s="12"/>
      <c r="C6" s="22"/>
      <c r="D6" s="22"/>
      <c r="E6" s="22"/>
      <c r="F6" s="22"/>
      <c r="G6" s="22"/>
    </row>
    <row r="7" spans="1:12" s="1" customFormat="1" ht="18" customHeight="1" thickBot="1" x14ac:dyDescent="0.35">
      <c r="A7" s="4"/>
      <c r="B7" s="47" t="s">
        <v>0</v>
      </c>
      <c r="C7" s="54" t="s">
        <v>27</v>
      </c>
      <c r="D7" s="55" t="s">
        <v>28</v>
      </c>
      <c r="E7" s="169" t="s">
        <v>29</v>
      </c>
      <c r="F7" s="4"/>
      <c r="G7" s="4"/>
    </row>
    <row r="8" spans="1:12" s="1" customFormat="1" ht="18" customHeight="1" thickTop="1" x14ac:dyDescent="0.3">
      <c r="A8" s="4"/>
      <c r="B8" s="48" t="s">
        <v>11</v>
      </c>
      <c r="C8" s="56">
        <v>0.2</v>
      </c>
      <c r="D8" s="57">
        <v>0.5</v>
      </c>
      <c r="E8" s="57">
        <v>0.3</v>
      </c>
      <c r="F8" s="74">
        <f>SUM(B8,C8,D8,E8)</f>
        <v>1</v>
      </c>
      <c r="G8" s="4"/>
    </row>
    <row r="9" spans="1:12" ht="18" hidden="1" customHeight="1" x14ac:dyDescent="0.25">
      <c r="A9" s="22"/>
      <c r="B9" s="49" t="s">
        <v>66</v>
      </c>
      <c r="C9" s="27">
        <v>0.67</v>
      </c>
      <c r="D9" s="28">
        <v>1.33</v>
      </c>
      <c r="E9" s="28">
        <v>2</v>
      </c>
      <c r="F9" s="22"/>
      <c r="G9" s="22"/>
    </row>
    <row r="10" spans="1:12" s="6" customFormat="1" ht="12.75" customHeight="1" x14ac:dyDescent="0.25">
      <c r="A10" s="5"/>
      <c r="B10" s="50" t="s">
        <v>1</v>
      </c>
      <c r="C10" s="58">
        <f>+(E5*C8)/C9</f>
        <v>59.701492537313428</v>
      </c>
      <c r="D10" s="59">
        <f>+(E5*D8)/D9</f>
        <v>75.187969924812023</v>
      </c>
      <c r="E10" s="59">
        <f>+(E5*E8)/E9</f>
        <v>30</v>
      </c>
      <c r="F10" s="75"/>
      <c r="G10" s="497" t="s">
        <v>90</v>
      </c>
      <c r="H10" s="497"/>
    </row>
    <row r="11" spans="1:12" ht="12.75" customHeight="1" x14ac:dyDescent="0.25">
      <c r="A11" s="22"/>
      <c r="B11" s="51" t="s">
        <v>67</v>
      </c>
      <c r="C11" s="60">
        <v>95</v>
      </c>
      <c r="D11" s="61">
        <v>40</v>
      </c>
      <c r="E11" s="61">
        <v>26</v>
      </c>
      <c r="F11" s="75"/>
      <c r="G11" s="497"/>
      <c r="H11" s="497"/>
    </row>
    <row r="12" spans="1:12" ht="12.75" customHeight="1" thickBot="1" x14ac:dyDescent="0.3">
      <c r="A12" s="22"/>
      <c r="B12" s="51" t="s">
        <v>83</v>
      </c>
      <c r="C12" s="60">
        <v>10.6</v>
      </c>
      <c r="D12" s="61">
        <v>10</v>
      </c>
      <c r="E12" s="61">
        <v>8.6999999999999993</v>
      </c>
      <c r="F12" s="75"/>
      <c r="G12" s="497"/>
      <c r="H12" s="497"/>
    </row>
    <row r="13" spans="1:12" ht="18.75" hidden="1" customHeight="1" x14ac:dyDescent="0.25">
      <c r="A13" s="22"/>
      <c r="B13" s="50" t="s">
        <v>63</v>
      </c>
      <c r="C13" s="62">
        <v>11</v>
      </c>
      <c r="D13" s="63">
        <v>10</v>
      </c>
      <c r="E13" s="63">
        <v>9</v>
      </c>
      <c r="F13" s="85"/>
      <c r="G13" s="497"/>
      <c r="H13" s="497"/>
    </row>
    <row r="14" spans="1:12" ht="18.75" hidden="1" customHeight="1" thickBot="1" x14ac:dyDescent="0.3">
      <c r="A14" s="22"/>
      <c r="B14" s="50" t="s">
        <v>64</v>
      </c>
      <c r="C14" s="62">
        <v>10</v>
      </c>
      <c r="D14" s="63">
        <v>10</v>
      </c>
      <c r="E14" s="63">
        <v>8</v>
      </c>
      <c r="F14" s="85"/>
      <c r="G14" s="497"/>
      <c r="H14" s="497"/>
    </row>
    <row r="15" spans="1:12" ht="18" customHeight="1" thickBot="1" x14ac:dyDescent="0.3">
      <c r="A15" s="22"/>
      <c r="B15" s="52" t="s">
        <v>68</v>
      </c>
      <c r="C15" s="64">
        <f>IF(MOD(C10+C13,C11)&lt;=C13,1+ROUNDDOWN(C10/C11,0),ROUNDDOWN(C10/C11,0))</f>
        <v>0</v>
      </c>
      <c r="D15" s="65">
        <f>IF(MOD(D10+D13,D11)&lt;=D13,1+ROUNDDOWN(D10/D11,0),ROUNDDOWN(D10/D11,0))</f>
        <v>2</v>
      </c>
      <c r="E15" s="65">
        <f>IF(MOD(E10+E13,E11)&lt;=E13,1+ROUNDDOWN(E10/E11,0),ROUNDDOWN(E10/E11,0))</f>
        <v>1</v>
      </c>
      <c r="F15" s="85"/>
      <c r="G15" s="497"/>
      <c r="H15" s="497"/>
    </row>
    <row r="16" spans="1:12" ht="18" customHeight="1" thickBot="1" x14ac:dyDescent="0.3">
      <c r="A16" s="22"/>
      <c r="B16" s="52" t="s">
        <v>84</v>
      </c>
      <c r="C16" s="64">
        <f>IF(ROUNDUP((C10-(C11*C15))/C12,0)&lt;0,0,ROUNDUP((C10-(C11*C15))/C12,0))</f>
        <v>6</v>
      </c>
      <c r="D16" s="65">
        <f>IF(ROUNDUP((D10-(D11*D15))/D12,0)&lt;0,0,ROUNDUP((D10-(D11*D15))/D12,0))</f>
        <v>0</v>
      </c>
      <c r="E16" s="65">
        <f>IF(ROUNDUP((E10-(E11*E15))/E12,0)&lt;0,0,ROUNDUP((E10-(E11*E15))/E12,0))</f>
        <v>1</v>
      </c>
      <c r="F16" s="76"/>
      <c r="G16" s="77"/>
      <c r="I16" s="22"/>
      <c r="J16" s="77"/>
      <c r="K16" s="264"/>
      <c r="L16" s="264"/>
    </row>
    <row r="17" spans="1:425" ht="18" customHeight="1" x14ac:dyDescent="0.25">
      <c r="A17" s="22"/>
      <c r="B17" s="53" t="s">
        <v>65</v>
      </c>
      <c r="C17" s="66">
        <f>(C15*C11)+(ROUNDUP(C16/2,0)*C13)+(ROUNDDOWN(C16/2,0)*C14)</f>
        <v>63</v>
      </c>
      <c r="D17" s="67">
        <f>(D15*D11)+(ROUNDUP(D16/2,0)*D13)+(ROUNDDOWN(D16/2,0)*D14)</f>
        <v>80</v>
      </c>
      <c r="E17" s="67">
        <f>(E15*E11)+(ROUNDUP(E16/2,0)*E13)+(ROUNDDOWN(E16/2,0)*E14)</f>
        <v>35</v>
      </c>
      <c r="F17" s="76"/>
      <c r="G17" s="77"/>
      <c r="I17" s="22"/>
      <c r="J17" s="77"/>
      <c r="K17" s="264"/>
      <c r="L17" s="264"/>
    </row>
    <row r="18" spans="1:425" ht="12.75" customHeight="1" x14ac:dyDescent="0.25">
      <c r="A18" s="22"/>
      <c r="B18" s="143" t="s">
        <v>70</v>
      </c>
      <c r="C18" s="78">
        <f>C11*C19</f>
        <v>2413</v>
      </c>
      <c r="D18" s="78">
        <f>D11*D19</f>
        <v>2292</v>
      </c>
      <c r="E18" s="78">
        <f>E11*E19</f>
        <v>2340</v>
      </c>
      <c r="F18" s="22"/>
      <c r="G18" s="22"/>
    </row>
    <row r="19" spans="1:425" ht="12.75" customHeight="1" x14ac:dyDescent="0.25">
      <c r="A19" s="22"/>
      <c r="B19" s="143" t="s">
        <v>69</v>
      </c>
      <c r="C19" s="142">
        <v>25.4</v>
      </c>
      <c r="D19" s="142">
        <v>57.3</v>
      </c>
      <c r="E19" s="142">
        <v>90</v>
      </c>
      <c r="F19" s="22"/>
      <c r="G19" s="22"/>
    </row>
    <row r="20" spans="1:425" ht="12.75" hidden="1" customHeight="1" x14ac:dyDescent="0.25">
      <c r="A20" s="22"/>
      <c r="B20" s="24" t="s">
        <v>71</v>
      </c>
      <c r="C20" s="25">
        <f>+C17*C9</f>
        <v>42.21</v>
      </c>
      <c r="D20" s="25">
        <f>+D17*D9</f>
        <v>106.4</v>
      </c>
      <c r="E20" s="25">
        <f>+E17*E9</f>
        <v>70</v>
      </c>
      <c r="F20" s="22"/>
      <c r="G20" s="22"/>
    </row>
    <row r="21" spans="1:425" ht="12.75" customHeight="1" x14ac:dyDescent="0.25">
      <c r="A21" s="22"/>
      <c r="B21" s="24"/>
      <c r="C21" s="25"/>
      <c r="D21" s="25"/>
      <c r="E21" s="25"/>
      <c r="F21" s="22"/>
      <c r="G21" s="22"/>
    </row>
    <row r="22" spans="1:425" ht="12.75" customHeight="1" x14ac:dyDescent="0.25">
      <c r="A22" s="22"/>
      <c r="B22" s="84" t="s">
        <v>87</v>
      </c>
      <c r="C22" s="84"/>
      <c r="D22" s="84"/>
      <c r="E22" s="84"/>
      <c r="F22" s="84"/>
      <c r="G22" s="84"/>
    </row>
    <row r="23" spans="1:425" s="81" customFormat="1" ht="12.75" customHeight="1" x14ac:dyDescent="0.25">
      <c r="A23" s="79"/>
      <c r="B23" s="84" t="s">
        <v>49</v>
      </c>
      <c r="C23" s="84"/>
      <c r="D23" s="84"/>
      <c r="E23" s="80"/>
      <c r="F23" s="79"/>
      <c r="G23" s="79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spans="1:425" ht="18" customHeight="1" x14ac:dyDescent="0.25">
      <c r="A24" s="34"/>
      <c r="B24" s="34"/>
      <c r="C24" s="68" t="s">
        <v>92</v>
      </c>
      <c r="D24" s="164">
        <f>SUM(C20:E20)</f>
        <v>218.61</v>
      </c>
      <c r="E24" s="72" t="s">
        <v>18</v>
      </c>
      <c r="F24" s="34"/>
      <c r="G24" s="34"/>
      <c r="H24" s="34"/>
    </row>
    <row r="25" spans="1:425" ht="18" customHeight="1" x14ac:dyDescent="0.25">
      <c r="A25" s="39"/>
      <c r="B25" s="39"/>
      <c r="C25" s="69" t="s">
        <v>94</v>
      </c>
      <c r="D25" s="70">
        <f>ROUND(+D24/35,0)</f>
        <v>6</v>
      </c>
      <c r="E25" s="73" t="s">
        <v>4</v>
      </c>
      <c r="F25" s="39"/>
      <c r="G25" s="39"/>
      <c r="H25" s="35"/>
    </row>
    <row r="26" spans="1:425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425" ht="18" customHeight="1" x14ac:dyDescent="0.25">
      <c r="A27" s="34"/>
      <c r="B27" s="34"/>
      <c r="C27" s="68" t="s">
        <v>96</v>
      </c>
      <c r="D27" s="164">
        <f>SUM(C17*C19+D17*D19+E17*E19)</f>
        <v>9334.2000000000007</v>
      </c>
      <c r="E27" s="72" t="s">
        <v>3</v>
      </c>
      <c r="F27" s="34"/>
      <c r="G27" s="34"/>
      <c r="H27" s="34"/>
    </row>
    <row r="28" spans="1:425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</row>
    <row r="29" spans="1:425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</row>
    <row r="30" spans="1:425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</row>
    <row r="31" spans="1:425" s="17" customFormat="1" ht="18" customHeight="1" x14ac:dyDescent="0.25">
      <c r="A31" s="23"/>
      <c r="B31" s="23"/>
      <c r="C31" s="23"/>
      <c r="D31" s="23"/>
      <c r="E31" s="23"/>
      <c r="F31" s="23"/>
      <c r="G31" s="23"/>
      <c r="H31" s="109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</row>
    <row r="32" spans="1:425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</row>
    <row r="33" spans="1:425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0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</row>
    <row r="34" spans="1:425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271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</row>
    <row r="35" spans="1:425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71" t="s">
        <v>57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</row>
    <row r="36" spans="1:425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271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</row>
    <row r="37" spans="1:425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71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</row>
    <row r="38" spans="1:425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71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</row>
    <row r="39" spans="1:425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11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</row>
    <row r="40" spans="1:425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</row>
    <row r="41" spans="1:425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</row>
    <row r="42" spans="1:425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</row>
    <row r="43" spans="1:425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</row>
    <row r="44" spans="1:425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</row>
    <row r="45" spans="1:425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</row>
    <row r="46" spans="1:425" ht="21" customHeight="1" x14ac:dyDescent="0.3">
      <c r="B46" s="15" t="s">
        <v>16</v>
      </c>
      <c r="C46" s="500"/>
      <c r="D46" s="500"/>
      <c r="E46" s="500"/>
      <c r="F46" s="500"/>
      <c r="G46" s="500"/>
      <c r="H46" s="500"/>
    </row>
    <row r="47" spans="1:425" ht="21" customHeight="1" x14ac:dyDescent="0.25">
      <c r="B47" s="13"/>
      <c r="C47" s="499"/>
      <c r="D47" s="499"/>
      <c r="E47" s="499"/>
      <c r="F47" s="499"/>
      <c r="G47" s="499"/>
      <c r="H47" s="499"/>
    </row>
    <row r="48" spans="1:425" ht="21" customHeight="1" x14ac:dyDescent="0.25">
      <c r="B48" s="11"/>
      <c r="C48" s="499"/>
      <c r="D48" s="499"/>
      <c r="E48" s="499"/>
      <c r="F48" s="499"/>
      <c r="G48" s="499"/>
      <c r="H48" s="499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</sheetData>
  <sheetProtection algorithmName="SHA-512" hashValue="VoucuzNaWyzwy49g0Nf89Z05M5954OI95PrrmVodwllUL3g/8MPjcVUoOOWLLC190u8B5wzTYxB09IuLafzOWw==" saltValue="WnHK0JKS3RoOYCnlJsvy/g==" spinCount="100000" sheet="1" selectLockedCells="1"/>
  <mergeCells count="6">
    <mergeCell ref="A1:H1"/>
    <mergeCell ref="G10:H15"/>
    <mergeCell ref="B26:G26"/>
    <mergeCell ref="C48:H48"/>
    <mergeCell ref="C47:H47"/>
    <mergeCell ref="C46:H46"/>
  </mergeCells>
  <phoneticPr fontId="0" type="noConversion"/>
  <dataValidations count="1">
    <dataValidation allowBlank="1" showInputMessage="1" promptTitle="Typical Waste Allowance" prompt="Typical allowance  is 2-5%. Projects with a higher than average number of openings and corners may require a higher allowance. " sqref="E4" xr:uid="{00000000-0002-0000-0100-000000000000}"/>
  </dataValidations>
  <hyperlinks>
    <hyperlink ref="H38" r:id="rId1" xr:uid="{00000000-0004-0000-0100-000000000000}"/>
    <hyperlink ref="H37" r:id="rId2" xr:uid="{00000000-0004-0000-0100-000001000000}"/>
    <hyperlink ref="H36" r:id="rId3" xr:uid="{00000000-0004-0000-0100-000002000000}"/>
    <hyperlink ref="H34" r:id="rId4" xr:uid="{00000000-0004-0000-0100-000003000000}"/>
    <hyperlink ref="H35" r:id="rId5" xr:uid="{00000000-0004-0000-0100-000004000000}"/>
  </hyperlinks>
  <pageMargins left="0.75" right="0.75" top="1" bottom="1" header="0.5" footer="0.5"/>
  <pageSetup orientation="portrait" r:id="rId6"/>
  <headerFooter alignWithMargins="0"/>
  <drawing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tabColor rgb="FFC00000"/>
  </sheetPr>
  <dimension ref="A1:AM48"/>
  <sheetViews>
    <sheetView showGridLines="0" showRowColHeaders="0" zoomScaleNormal="100" workbookViewId="0">
      <selection activeCell="H37" sqref="H37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216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">
      <c r="A7" s="7"/>
      <c r="B7" s="100" t="s">
        <v>0</v>
      </c>
      <c r="C7" s="101" t="s">
        <v>32</v>
      </c>
      <c r="D7" s="102" t="s">
        <v>33</v>
      </c>
      <c r="E7" s="102" t="s">
        <v>34</v>
      </c>
      <c r="F7" s="259" t="s">
        <v>35</v>
      </c>
      <c r="G7" s="239"/>
      <c r="H7" s="229"/>
    </row>
    <row r="8" spans="1:8" ht="18" customHeight="1" thickTop="1" x14ac:dyDescent="0.25">
      <c r="A8" s="22"/>
      <c r="B8" s="103" t="s">
        <v>11</v>
      </c>
      <c r="C8" s="88">
        <v>0.1</v>
      </c>
      <c r="D8" s="89">
        <v>0.4</v>
      </c>
      <c r="E8" s="89">
        <v>0.3</v>
      </c>
      <c r="F8" s="152">
        <v>0.2</v>
      </c>
      <c r="G8" s="74">
        <f>SUM(C8,D8,E8,F8)</f>
        <v>1</v>
      </c>
      <c r="H8" s="229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0.96</v>
      </c>
      <c r="E9" s="105">
        <v>1.45</v>
      </c>
      <c r="F9" s="242">
        <v>1.92</v>
      </c>
      <c r="G9" s="240"/>
      <c r="H9" s="203"/>
    </row>
    <row r="10" spans="1:8" ht="12.75" customHeight="1" x14ac:dyDescent="0.25">
      <c r="A10" s="22"/>
      <c r="B10" s="50" t="s">
        <v>1</v>
      </c>
      <c r="C10" s="106">
        <f>+($E$5*C8)/C9</f>
        <v>41.666666666666671</v>
      </c>
      <c r="D10" s="107">
        <f>+($E$5*D8)/D9</f>
        <v>83.333333333333343</v>
      </c>
      <c r="E10" s="107">
        <f>+($E$5*E8)/E9</f>
        <v>41.379310344827587</v>
      </c>
      <c r="F10" s="241">
        <f>+($E$5*F8)/F9</f>
        <v>20.833333333333336</v>
      </c>
      <c r="G10" s="501" t="s">
        <v>89</v>
      </c>
      <c r="H10" s="501"/>
    </row>
    <row r="11" spans="1:8" ht="12.75" customHeight="1" x14ac:dyDescent="0.25">
      <c r="A11" s="22"/>
      <c r="B11" s="51" t="s">
        <v>67</v>
      </c>
      <c r="C11" s="104">
        <v>148</v>
      </c>
      <c r="D11" s="105">
        <v>74</v>
      </c>
      <c r="E11" s="105">
        <v>45</v>
      </c>
      <c r="F11" s="242">
        <v>27</v>
      </c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10.6</v>
      </c>
      <c r="D12" s="138">
        <v>10.6</v>
      </c>
      <c r="E12" s="105">
        <v>9</v>
      </c>
      <c r="F12" s="242">
        <v>9</v>
      </c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11</v>
      </c>
      <c r="D13" s="138">
        <v>11</v>
      </c>
      <c r="E13" s="105">
        <v>9</v>
      </c>
      <c r="F13" s="242">
        <v>9</v>
      </c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10</v>
      </c>
      <c r="D14" s="138">
        <v>10</v>
      </c>
      <c r="E14" s="105">
        <v>9</v>
      </c>
      <c r="F14" s="242">
        <v>9</v>
      </c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1</v>
      </c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0</v>
      </c>
      <c r="G16" s="260"/>
      <c r="H16" s="203"/>
    </row>
    <row r="17" spans="1:39" ht="18" customHeight="1" x14ac:dyDescent="0.25">
      <c r="A17" s="22"/>
      <c r="B17" s="140" t="s">
        <v>65</v>
      </c>
      <c r="C17" s="123">
        <f>(C15*C11)+IF(OR(C16=3,C16=8,C16=13),(ROUNDUP(C16*0.67,0)*C13)+(ROUNDDOWN(C16*0.31,0)*C14),(ROUNDUP(C16*0.6,0)*C13)+(ROUNDDOWN(C16*0.4,0)*C14))</f>
        <v>43</v>
      </c>
      <c r="D17" s="123">
        <f>(D15*D11)+(ROUNDUP(D16/2,0)*D13)+(ROUNDDOWN(D16/2,0)*D14)</f>
        <v>85</v>
      </c>
      <c r="E17" s="123">
        <f>(E15*E11)+(ROUNDUP(E16/2,0)*E13)+(ROUNDDOWN(E16/2,0)*E14)</f>
        <v>45</v>
      </c>
      <c r="F17" s="123">
        <f>(F15*F11)+(ROUNDUP(F16/2,0)*F13)+(ROUNDDOWN(F16/2,0)*F14)</f>
        <v>27</v>
      </c>
      <c r="G17" s="260"/>
      <c r="H17" s="203"/>
    </row>
    <row r="18" spans="1:39" ht="12.75" customHeight="1" x14ac:dyDescent="0.25">
      <c r="A18" s="22"/>
      <c r="B18" s="143" t="s">
        <v>70</v>
      </c>
      <c r="C18" s="78">
        <f>C11*C19</f>
        <v>2675.8399999999997</v>
      </c>
      <c r="D18" s="78">
        <f>D11*D19</f>
        <v>2855.4749999999999</v>
      </c>
      <c r="E18" s="78">
        <f>E11*E19</f>
        <v>2758.4549999999999</v>
      </c>
      <c r="F18" s="78">
        <f>F11*F19</f>
        <v>2309.9580000000001</v>
      </c>
      <c r="G18" s="240"/>
      <c r="H18" s="203"/>
    </row>
    <row r="19" spans="1:39" ht="12.75" customHeight="1" x14ac:dyDescent="0.25">
      <c r="A19" s="22"/>
      <c r="B19" s="217" t="s">
        <v>69</v>
      </c>
      <c r="C19" s="236">
        <v>18.079999999999998</v>
      </c>
      <c r="D19" s="236">
        <v>38.587499999999999</v>
      </c>
      <c r="E19" s="236">
        <v>61.298999999999999</v>
      </c>
      <c r="F19" s="236">
        <v>85.554000000000002</v>
      </c>
      <c r="G19" s="240"/>
      <c r="H19" s="203"/>
      <c r="M19" s="261"/>
    </row>
    <row r="20" spans="1:39" ht="12.75" hidden="1" customHeight="1" x14ac:dyDescent="0.25">
      <c r="A20" s="22"/>
      <c r="B20" s="219" t="s">
        <v>71</v>
      </c>
      <c r="C20" s="78">
        <f>+C17*C9</f>
        <v>20.64</v>
      </c>
      <c r="D20" s="78">
        <f>+D17*D9</f>
        <v>81.599999999999994</v>
      </c>
      <c r="E20" s="78">
        <f>+E17*E9</f>
        <v>65.25</v>
      </c>
      <c r="F20" s="78">
        <f>+F17*F9</f>
        <v>51.839999999999996</v>
      </c>
      <c r="G20" s="240"/>
      <c r="H20" s="203"/>
    </row>
    <row r="21" spans="1:39" ht="12.75" customHeight="1" x14ac:dyDescent="0.25">
      <c r="A21" s="22"/>
      <c r="B21" s="262"/>
      <c r="C21" s="218"/>
      <c r="D21" s="218"/>
      <c r="E21" s="218"/>
      <c r="F21" s="218"/>
      <c r="G21" s="240"/>
      <c r="H21" s="203"/>
    </row>
    <row r="22" spans="1:39" ht="12.75" customHeight="1" x14ac:dyDescent="0.25">
      <c r="A22" s="22"/>
      <c r="B22" s="77" t="s">
        <v>198</v>
      </c>
      <c r="C22" s="218"/>
      <c r="D22" s="218"/>
      <c r="E22" s="218"/>
      <c r="F22" s="218"/>
      <c r="G22" s="240"/>
      <c r="H22" s="203"/>
    </row>
    <row r="23" spans="1:39" ht="12.75" customHeight="1" x14ac:dyDescent="0.25">
      <c r="A23" s="22"/>
      <c r="B23" s="86" t="s">
        <v>104</v>
      </c>
      <c r="C23" s="218"/>
      <c r="D23" s="218"/>
      <c r="E23" s="218"/>
      <c r="F23" s="218"/>
      <c r="G23" s="240"/>
      <c r="H23" s="203"/>
    </row>
    <row r="24" spans="1:39" ht="12.75" customHeight="1" x14ac:dyDescent="0.25">
      <c r="A24" s="22"/>
      <c r="B24" s="261" t="s">
        <v>201</v>
      </c>
      <c r="C24" s="218"/>
      <c r="D24" s="218"/>
      <c r="E24" s="218"/>
      <c r="F24" s="218"/>
      <c r="G24" s="240"/>
      <c r="H24" s="203"/>
    </row>
    <row r="25" spans="1:39" ht="12.75" customHeight="1" x14ac:dyDescent="0.25">
      <c r="A25" s="22"/>
      <c r="B25" s="86" t="s">
        <v>88</v>
      </c>
      <c r="C25" s="218"/>
      <c r="D25" s="218"/>
      <c r="E25" s="218"/>
      <c r="F25" s="218"/>
      <c r="G25" s="240"/>
      <c r="H25" s="203"/>
    </row>
    <row r="26" spans="1:39" ht="12.75" customHeight="1" x14ac:dyDescent="0.25">
      <c r="A26" s="22"/>
      <c r="B26" s="87" t="s">
        <v>49</v>
      </c>
      <c r="C26" s="218"/>
      <c r="D26" s="218"/>
      <c r="E26" s="218"/>
      <c r="F26" s="218"/>
      <c r="G26" s="240"/>
      <c r="H26" s="203"/>
    </row>
    <row r="27" spans="1:39" ht="18" customHeight="1" x14ac:dyDescent="0.25">
      <c r="A27" s="44"/>
      <c r="B27" s="44"/>
      <c r="C27" s="243" t="s">
        <v>92</v>
      </c>
      <c r="D27" s="234">
        <f>SUM(C20:F20)</f>
        <v>219.33</v>
      </c>
      <c r="E27" s="258" t="s">
        <v>17</v>
      </c>
      <c r="F27" s="44"/>
      <c r="G27" s="44"/>
      <c r="H27" s="46"/>
      <c r="K27" s="22"/>
    </row>
    <row r="28" spans="1:39" ht="18" customHeight="1" x14ac:dyDescent="0.25">
      <c r="A28" s="39"/>
      <c r="B28" s="39"/>
      <c r="C28" s="69" t="s">
        <v>2</v>
      </c>
      <c r="D28" s="70">
        <f>ROUND(+D27/35,0)</f>
        <v>6</v>
      </c>
      <c r="E28" s="73" t="s">
        <v>4</v>
      </c>
      <c r="F28" s="39"/>
      <c r="G28" s="39"/>
      <c r="H28" s="35"/>
    </row>
    <row r="29" spans="1:39" ht="12.75" customHeight="1" x14ac:dyDescent="0.25">
      <c r="A29" s="39"/>
      <c r="B29" s="498" t="s">
        <v>8</v>
      </c>
      <c r="C29" s="498"/>
      <c r="D29" s="498"/>
      <c r="E29" s="498"/>
      <c r="F29" s="498"/>
      <c r="G29" s="498"/>
      <c r="H29" s="35"/>
    </row>
    <row r="30" spans="1:39" ht="18" customHeight="1" x14ac:dyDescent="0.25">
      <c r="A30" s="44"/>
      <c r="B30" s="44"/>
      <c r="C30" s="243" t="s">
        <v>95</v>
      </c>
      <c r="D30" s="234">
        <f>SUM(C17*C19+D17*D19+E17*E19+F17*F19)</f>
        <v>9125.790500000001</v>
      </c>
      <c r="E30" s="258" t="s">
        <v>3</v>
      </c>
      <c r="F30" s="44"/>
      <c r="G30" s="44"/>
      <c r="H30" s="46"/>
    </row>
    <row r="31" spans="1:39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s="17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s="17" customFormat="1" ht="17.399999999999999" x14ac:dyDescent="0.25">
      <c r="A34" s="23"/>
      <c r="B34" s="23"/>
      <c r="C34" s="23"/>
      <c r="D34" s="23"/>
      <c r="E34" s="23"/>
      <c r="F34" s="23"/>
      <c r="G34" s="23"/>
      <c r="H34" s="223" t="s">
        <v>9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s="17" customFormat="1" x14ac:dyDescent="0.25">
      <c r="A35" s="23"/>
      <c r="B35" s="23"/>
      <c r="C35" s="23"/>
      <c r="D35" s="23"/>
      <c r="E35" s="23"/>
      <c r="F35" s="23"/>
      <c r="G35" s="23"/>
      <c r="H35" s="1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s="17" customFormat="1" x14ac:dyDescent="0.25">
      <c r="A36" s="23"/>
      <c r="B36" s="23"/>
      <c r="C36" s="23"/>
      <c r="D36" s="23"/>
      <c r="E36" s="23"/>
      <c r="F36" s="23"/>
      <c r="G36" s="23"/>
      <c r="H36" s="224" t="s">
        <v>55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s="17" customFormat="1" x14ac:dyDescent="0.25">
      <c r="A37" s="23"/>
      <c r="B37" s="23"/>
      <c r="C37" s="23"/>
      <c r="D37" s="23"/>
      <c r="E37" s="23"/>
      <c r="F37" s="23"/>
      <c r="G37" s="23"/>
      <c r="H37" s="199" t="s">
        <v>54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s="17" customFormat="1" x14ac:dyDescent="0.25">
      <c r="A38" s="23"/>
      <c r="B38" s="23"/>
      <c r="C38" s="23"/>
      <c r="D38" s="23"/>
      <c r="E38" s="23"/>
      <c r="F38" s="23"/>
      <c r="G38" s="23"/>
      <c r="H38" s="246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s="17" customFormat="1" x14ac:dyDescent="0.25">
      <c r="A39" s="23"/>
      <c r="B39" s="23"/>
      <c r="C39" s="23"/>
      <c r="D39" s="23"/>
      <c r="E39" s="23"/>
      <c r="F39" s="23"/>
      <c r="G39" s="23"/>
      <c r="H39" s="199" t="s">
        <v>6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s="17" customFormat="1" x14ac:dyDescent="0.25">
      <c r="A40" s="23"/>
      <c r="B40" s="23"/>
      <c r="C40" s="23"/>
      <c r="D40" s="23"/>
      <c r="E40" s="23"/>
      <c r="F40" s="23"/>
      <c r="G40" s="23"/>
      <c r="H40" s="199" t="s">
        <v>58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s="17" customFormat="1" x14ac:dyDescent="0.25">
      <c r="A41" s="23"/>
      <c r="B41" s="23"/>
      <c r="C41" s="23"/>
      <c r="D41" s="23"/>
      <c r="E41" s="23"/>
      <c r="F41" s="23"/>
      <c r="G41" s="23"/>
      <c r="H41" s="199" t="s">
        <v>10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s="17" customFormat="1" x14ac:dyDescent="0.25">
      <c r="A42" s="23"/>
      <c r="B42" s="23"/>
      <c r="C42" s="23"/>
      <c r="D42" s="23"/>
      <c r="E42" s="23"/>
      <c r="F42" s="23"/>
      <c r="G42" s="23"/>
      <c r="H42" s="225" t="s">
        <v>7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zmrmA8V+hnZRJG1SFUhuO2QUgoe0S6rCO2y3481DZ27kJxqig0ObTAyohGZclPcx5E8PwjRxJLM7JQu0kKVSSA==" saltValue="BO6uNsZvXSnjppiqRxsAWQ==" spinCount="100000" sheet="1" selectLockedCells="1"/>
  <mergeCells count="3">
    <mergeCell ref="A1:H1"/>
    <mergeCell ref="G10:H15"/>
    <mergeCell ref="B29:G29"/>
  </mergeCells>
  <phoneticPr fontId="0" type="noConversion"/>
  <dataValidations xWindow="808" yWindow="194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400-000000000000}"/>
  </dataValidations>
  <hyperlinks>
    <hyperlink ref="H41" r:id="rId1" xr:uid="{00000000-0004-0000-1400-000000000000}"/>
    <hyperlink ref="H40" r:id="rId2" xr:uid="{00000000-0004-0000-1400-000001000000}"/>
    <hyperlink ref="H39" r:id="rId3" xr:uid="{00000000-0004-0000-1400-000002000000}"/>
    <hyperlink ref="H37" r:id="rId4" xr:uid="{00000000-0004-0000-1400-000003000000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0DC4-B05F-426E-86CA-27688BB047C2}">
  <sheetPr codeName="Sheet29">
    <tabColor rgb="FFC00000"/>
  </sheetPr>
  <dimension ref="A1:AP54"/>
  <sheetViews>
    <sheetView showGridLines="0" showRowColHeaders="0" zoomScaleNormal="100" workbookViewId="0">
      <selection activeCell="H36" sqref="H3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265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262</v>
      </c>
      <c r="D7" s="227" t="s">
        <v>263</v>
      </c>
      <c r="E7" s="228" t="s">
        <v>264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0.22</v>
      </c>
      <c r="D8" s="154">
        <v>0.45</v>
      </c>
      <c r="E8" s="153">
        <v>0.33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0.51</v>
      </c>
      <c r="D9" s="230">
        <v>1.03</v>
      </c>
      <c r="E9" s="206">
        <v>1.53</v>
      </c>
      <c r="F9" s="203"/>
    </row>
    <row r="10" spans="1:8" ht="12.75" customHeight="1" x14ac:dyDescent="0.25">
      <c r="B10" s="207" t="s">
        <v>1</v>
      </c>
      <c r="C10" s="208">
        <f>+(E5*C8)/C9</f>
        <v>86.274509803921561</v>
      </c>
      <c r="D10" s="231">
        <f>+(E5*D8)/D9</f>
        <v>87.378640776699029</v>
      </c>
      <c r="E10" s="208">
        <f>+(E5*E8)/E9</f>
        <v>43.13725490196078</v>
      </c>
      <c r="F10" s="203"/>
      <c r="G10" s="501" t="s">
        <v>266</v>
      </c>
      <c r="H10" s="501"/>
    </row>
    <row r="11" spans="1:8" ht="12.75" customHeight="1" x14ac:dyDescent="0.25">
      <c r="B11" s="209" t="s">
        <v>67</v>
      </c>
      <c r="C11" s="206">
        <v>56</v>
      </c>
      <c r="D11" s="230">
        <v>56</v>
      </c>
      <c r="E11" s="206">
        <v>56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409">
        <v>7</v>
      </c>
      <c r="D12" s="410">
        <v>7</v>
      </c>
      <c r="E12" s="393">
        <v>7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409">
        <v>7</v>
      </c>
      <c r="D13" s="410">
        <v>7</v>
      </c>
      <c r="E13" s="105">
        <v>7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411">
        <v>7</v>
      </c>
      <c r="D14" s="412">
        <v>7</v>
      </c>
      <c r="E14" s="105">
        <v>7</v>
      </c>
      <c r="F14" s="232"/>
      <c r="G14" s="501"/>
      <c r="H14" s="501"/>
    </row>
    <row r="15" spans="1:8" ht="18" customHeight="1" thickBot="1" x14ac:dyDescent="0.3">
      <c r="B15" s="52" t="s">
        <v>68</v>
      </c>
      <c r="C15" s="525">
        <f>MAX(IF(MOD(C10+C13,C11)&lt;=C13,1+ROUNDDOWN(C10/C11,0),ROUNDDOWN(C10/C11,0)), IF(MOD(D10+D13,D11)&lt;=D13,1+ROUNDDOWN(D10/D11,0),ROUNDDOWN(D10/D11,0)))</f>
        <v>1</v>
      </c>
      <c r="D15" s="526"/>
      <c r="E15" s="65">
        <f>IF(MOD(E10+E13,E11)&lt;=E13,1+ROUNDDOWN(E10/E11,0),ROUNDDOWN(E10/E11,0))</f>
        <v>0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5</v>
      </c>
      <c r="D16" s="119">
        <f>IF(ROUNDUP((D10-(D11*C15))/C12,0)&lt;0,0,ROUNDUP((D10-(D11*C15))/C12,0))</f>
        <v>5</v>
      </c>
      <c r="E16" s="119">
        <f>IF(ROUNDUP((E10-(E11*E15))/E12,0)&lt;0,0,ROUNDUP((E10-(E11*E15))/E12,0))</f>
        <v>7</v>
      </c>
      <c r="F16" s="232"/>
      <c r="G16" s="155"/>
      <c r="H16" s="155"/>
    </row>
    <row r="17" spans="1:42" ht="18" customHeight="1" x14ac:dyDescent="0.25">
      <c r="B17" s="140" t="s">
        <v>65</v>
      </c>
      <c r="C17" s="123">
        <f>(C15*C11)+IF(OR(C16=3,C16=8,C16=13),(ROUNDUP(C16*0.67,0)*C13)+(ROUNDDOWN(C16*0.31,0)*C14),(ROUNDUP(C16*0.6,0)*C13)+(ROUNDDOWN(C16*0.4,0)*C14))</f>
        <v>91</v>
      </c>
      <c r="D17" s="123">
        <f>(C15*D11)+(ROUNDUP(C16/2,0)*C13)+(ROUNDDOWN(C16/2,0)*C14)</f>
        <v>91</v>
      </c>
      <c r="E17" s="123">
        <f>(E15*E11)+(ROUNDUP(E16/2,0)*E13)+(ROUNDDOWN(E16/2,0)*E14)</f>
        <v>49</v>
      </c>
      <c r="F17" s="232"/>
      <c r="G17" s="155"/>
      <c r="H17" s="155"/>
    </row>
    <row r="18" spans="1:42" ht="12.75" customHeight="1" x14ac:dyDescent="0.25">
      <c r="B18" s="143" t="s">
        <v>70</v>
      </c>
      <c r="C18" s="527">
        <v>3342</v>
      </c>
      <c r="D18" s="527"/>
      <c r="E18" s="78">
        <v>3446</v>
      </c>
      <c r="F18" s="203"/>
      <c r="G18" s="156"/>
      <c r="H18" s="156"/>
    </row>
    <row r="19" spans="1:42" ht="12.75" customHeight="1" x14ac:dyDescent="0.25">
      <c r="B19" s="217" t="s">
        <v>69</v>
      </c>
      <c r="C19" s="236">
        <v>18.7</v>
      </c>
      <c r="D19" s="236">
        <v>41</v>
      </c>
      <c r="E19" s="236">
        <v>61.5</v>
      </c>
      <c r="F19" s="203"/>
      <c r="G19" s="156"/>
      <c r="H19" s="156"/>
    </row>
    <row r="20" spans="1:42" ht="12.75" hidden="1" customHeight="1" x14ac:dyDescent="0.25">
      <c r="B20" s="219" t="s">
        <v>71</v>
      </c>
      <c r="C20" s="78">
        <f>+C17*C9</f>
        <v>46.410000000000004</v>
      </c>
      <c r="D20" s="78">
        <f>+D17*D9</f>
        <v>93.73</v>
      </c>
      <c r="E20" s="78">
        <f>+E17*E9</f>
        <v>74.97</v>
      </c>
      <c r="F20" s="203"/>
      <c r="G20" s="156"/>
      <c r="H20" s="156"/>
    </row>
    <row r="21" spans="1:42" ht="12.75" hidden="1" customHeight="1" x14ac:dyDescent="0.25">
      <c r="B21" s="262"/>
      <c r="C21" s="215"/>
      <c r="D21" s="215"/>
      <c r="E21" s="215"/>
      <c r="F21" s="203"/>
      <c r="G21" s="155"/>
      <c r="H21" s="155"/>
    </row>
    <row r="22" spans="1:42" ht="12.75" hidden="1" customHeight="1" x14ac:dyDescent="0.25">
      <c r="B22" s="77"/>
      <c r="C22" s="215"/>
      <c r="D22" s="215"/>
      <c r="E22" s="215"/>
      <c r="F22" s="203"/>
    </row>
    <row r="23" spans="1:42" ht="12.75" customHeight="1" x14ac:dyDescent="0.25">
      <c r="B23" s="261"/>
      <c r="C23" s="215"/>
      <c r="D23" s="215"/>
      <c r="E23" s="215"/>
      <c r="F23" s="203"/>
    </row>
    <row r="24" spans="1:42" ht="12.75" customHeight="1" x14ac:dyDescent="0.25">
      <c r="B24" s="86" t="s">
        <v>88</v>
      </c>
      <c r="C24" s="215"/>
      <c r="D24" s="215"/>
      <c r="E24" s="215"/>
      <c r="F24" s="203"/>
    </row>
    <row r="25" spans="1:42" ht="12.75" customHeight="1" x14ac:dyDescent="0.25">
      <c r="B25" s="87" t="s">
        <v>49</v>
      </c>
      <c r="C25" s="215"/>
      <c r="D25" s="215"/>
      <c r="E25" s="215"/>
      <c r="F25" s="203"/>
    </row>
    <row r="26" spans="1:42" ht="18" customHeight="1" x14ac:dyDescent="0.25">
      <c r="A26" s="46"/>
      <c r="B26" s="46"/>
      <c r="C26" s="233" t="s">
        <v>92</v>
      </c>
      <c r="D26" s="234">
        <f>SUM(C20:E20)</f>
        <v>215.11</v>
      </c>
      <c r="E26" s="235" t="s">
        <v>276</v>
      </c>
      <c r="F26" s="46"/>
      <c r="G26" s="46"/>
      <c r="H26" s="46"/>
    </row>
    <row r="27" spans="1:42" ht="18" customHeight="1" x14ac:dyDescent="0.25">
      <c r="A27" s="35"/>
      <c r="B27" s="35"/>
      <c r="C27" s="220" t="s">
        <v>94</v>
      </c>
      <c r="D27" s="70">
        <f>ROUND(+D26/35,0)</f>
        <v>6</v>
      </c>
      <c r="E27" s="226" t="s">
        <v>4</v>
      </c>
      <c r="F27" s="35"/>
      <c r="G27" s="35"/>
      <c r="H27" s="35"/>
    </row>
    <row r="28" spans="1:42" ht="12.75" customHeight="1" x14ac:dyDescent="0.25">
      <c r="A28" s="39"/>
      <c r="B28" s="498" t="s">
        <v>8</v>
      </c>
      <c r="C28" s="498"/>
      <c r="D28" s="498"/>
      <c r="E28" s="498"/>
      <c r="F28" s="498"/>
      <c r="G28" s="498"/>
      <c r="H28" s="35"/>
    </row>
    <row r="29" spans="1:42" ht="18" customHeight="1" x14ac:dyDescent="0.25">
      <c r="A29" s="46"/>
      <c r="B29" s="46"/>
      <c r="C29" s="233" t="s">
        <v>95</v>
      </c>
      <c r="D29" s="234">
        <f>SUM(C17*C19+D17*D19+E17*E19)</f>
        <v>8446.2000000000007</v>
      </c>
      <c r="E29" s="235" t="s">
        <v>3</v>
      </c>
      <c r="F29" s="46"/>
      <c r="G29" s="46"/>
      <c r="H29" s="46"/>
    </row>
    <row r="30" spans="1:4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7" customFormat="1" ht="17.399999999999999" x14ac:dyDescent="0.25">
      <c r="A33" s="23"/>
      <c r="B33" s="23"/>
      <c r="C33" s="23"/>
      <c r="D33" s="23"/>
      <c r="E33" s="23"/>
      <c r="F33" s="23"/>
      <c r="G33" s="23"/>
      <c r="H33" s="223" t="s">
        <v>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24" t="s">
        <v>55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54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99" t="s">
        <v>58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199" t="s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25" t="s">
        <v>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7" customFormat="1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2.75" customHeight="1" x14ac:dyDescent="0.25"/>
    <row r="51" spans="1:42" ht="12.75" customHeight="1" x14ac:dyDescent="0.25"/>
    <row r="52" spans="1:42" ht="12.75" customHeight="1" x14ac:dyDescent="0.25"/>
    <row r="53" spans="1:42" ht="12.75" customHeight="1" x14ac:dyDescent="0.25"/>
    <row r="54" spans="1:42" ht="12.75" customHeight="1" x14ac:dyDescent="0.25"/>
  </sheetData>
  <sheetProtection algorithmName="SHA-512" hashValue="Tf2VoqBP1VqgsSGxLLrGpKrUHkB+FeSVsG79sMafzEFrytn9Nw2jhT3E+qUPhWNhbxtEjJt81I9mwr4huq2MhQ==" saltValue="vlXyXseOUrHk5xc53is0Vg==" spinCount="100000" sheet="1" selectLockedCells="1"/>
  <mergeCells count="5">
    <mergeCell ref="A1:H1"/>
    <mergeCell ref="G10:H15"/>
    <mergeCell ref="B28:G28"/>
    <mergeCell ref="C15:D15"/>
    <mergeCell ref="C18:D18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7705349C-7C15-4111-9B48-5F596E8C82D5}"/>
  </dataValidations>
  <hyperlinks>
    <hyperlink ref="H40" r:id="rId1" xr:uid="{5B47B537-3605-4DB4-9950-2383EB4A0950}"/>
    <hyperlink ref="H39" r:id="rId2" xr:uid="{9C0A4153-AAEF-48C9-97B4-8828C29E7FDC}"/>
    <hyperlink ref="H38" r:id="rId3" xr:uid="{5E896DFB-5BA2-408A-A2E5-B8C3CE866EAA}"/>
    <hyperlink ref="H36" r:id="rId4" xr:uid="{4B2F857D-2473-48AF-B940-7E5FF95A4D23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ABBB-8295-4D3C-A8F4-7F70A33A2D3F}">
  <sheetPr codeName="Sheet30">
    <tabColor rgb="FFC00000"/>
  </sheetPr>
  <dimension ref="A1:AP54"/>
  <sheetViews>
    <sheetView showGridLines="0" showRowColHeaders="0" zoomScaleNormal="100" workbookViewId="0">
      <selection activeCell="H36" sqref="H3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272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262</v>
      </c>
      <c r="D7" s="227" t="s">
        <v>263</v>
      </c>
      <c r="E7" s="228" t="s">
        <v>264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0.17</v>
      </c>
      <c r="D8" s="154">
        <v>0.33</v>
      </c>
      <c r="E8" s="153">
        <v>0.5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0.51</v>
      </c>
      <c r="D9" s="230">
        <v>1.03</v>
      </c>
      <c r="E9" s="206">
        <v>1.53</v>
      </c>
      <c r="F9" s="203"/>
    </row>
    <row r="10" spans="1:8" ht="12.75" customHeight="1" x14ac:dyDescent="0.25">
      <c r="B10" s="207" t="s">
        <v>1</v>
      </c>
      <c r="C10" s="208">
        <f>+(E5*C8)/C9</f>
        <v>66.666666666666671</v>
      </c>
      <c r="D10" s="231">
        <f>+(E5*D8)/D9</f>
        <v>64.077669902912618</v>
      </c>
      <c r="E10" s="208">
        <f>+(E5*E8)/E9</f>
        <v>65.359477124183002</v>
      </c>
      <c r="F10" s="203"/>
      <c r="G10" s="501" t="s">
        <v>266</v>
      </c>
      <c r="H10" s="501"/>
    </row>
    <row r="11" spans="1:8" ht="12.75" customHeight="1" x14ac:dyDescent="0.25">
      <c r="B11" s="209" t="s">
        <v>67</v>
      </c>
      <c r="C11" s="62">
        <v>56</v>
      </c>
      <c r="D11" s="413">
        <v>56</v>
      </c>
      <c r="E11" s="206">
        <v>56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409">
        <v>7</v>
      </c>
      <c r="D12" s="414">
        <v>7</v>
      </c>
      <c r="E12" s="105">
        <v>7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403">
        <v>7</v>
      </c>
      <c r="D13" s="318">
        <v>7</v>
      </c>
      <c r="E13" s="105">
        <v>7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404">
        <v>7</v>
      </c>
      <c r="D14" s="405">
        <v>7</v>
      </c>
      <c r="E14" s="105">
        <v>7</v>
      </c>
      <c r="F14" s="232"/>
      <c r="G14" s="501"/>
      <c r="H14" s="501"/>
    </row>
    <row r="15" spans="1:8" ht="18" customHeight="1" thickBot="1" x14ac:dyDescent="0.3">
      <c r="B15" s="52" t="s">
        <v>68</v>
      </c>
      <c r="C15" s="525">
        <f>MAX(IF(MOD(C10+C13,C11)&lt;=C13,1+ROUNDDOWN(C10/C11,0),ROUNDDOWN(C10/C11,0)), IF(MOD(D10+D13,D11)&lt;=D13,1+ROUNDDOWN(D10/D11,0),ROUNDDOWN(D10/D11,0)))</f>
        <v>1</v>
      </c>
      <c r="D15" s="526"/>
      <c r="E15" s="65">
        <f>IF(MOD(E10+E13,E11)&lt;=E13,1+ROUNDDOWN(E10/E11,0),ROUNDDOWN(E10/E11,0))</f>
        <v>1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2</v>
      </c>
      <c r="D16" s="119">
        <f>IF(ROUNDUP((D10-(D11*C15))/C12,0)&lt;0,0,ROUNDUP((D10-(D11*C15))/C12,0))</f>
        <v>2</v>
      </c>
      <c r="E16" s="119">
        <f>IF(ROUNDUP((E10-(E11*E15))/E12,0)&lt;0,0,ROUNDUP((E10-(E11*E15))/E12,0))</f>
        <v>2</v>
      </c>
      <c r="F16" s="232"/>
      <c r="G16" s="155"/>
      <c r="H16" s="155"/>
    </row>
    <row r="17" spans="1:42" ht="18" customHeight="1" x14ac:dyDescent="0.25">
      <c r="B17" s="140" t="s">
        <v>65</v>
      </c>
      <c r="C17" s="123">
        <f>(C15*C11)+IF(OR(C16=3,C16=8,C16=13),(ROUNDUP(C16*0.67,0)*C13)+(ROUNDDOWN(C16*0.31,0)*C14),(ROUNDUP(C16*0.6,0)*C13)+(ROUNDDOWN(C16*0.4,0)*C14))</f>
        <v>70</v>
      </c>
      <c r="D17" s="123">
        <f>(C15*D11)+(ROUNDUP(C16/2,0)*C13)+(ROUNDDOWN(C16/2,0)*C14)</f>
        <v>70</v>
      </c>
      <c r="E17" s="123">
        <f>(E15*E11)+(ROUNDUP(E16/2,0)*E13)+(ROUNDDOWN(E16/2,0)*E14)</f>
        <v>70</v>
      </c>
      <c r="F17" s="232"/>
      <c r="G17" s="155"/>
      <c r="H17" s="155"/>
    </row>
    <row r="18" spans="1:42" ht="12.75" customHeight="1" x14ac:dyDescent="0.25">
      <c r="B18" s="143" t="s">
        <v>70</v>
      </c>
      <c r="C18" s="527">
        <v>3342</v>
      </c>
      <c r="D18" s="527"/>
      <c r="E18" s="78">
        <v>3446</v>
      </c>
      <c r="F18" s="203"/>
      <c r="G18" s="156"/>
      <c r="H18" s="156"/>
    </row>
    <row r="19" spans="1:42" ht="12.75" customHeight="1" x14ac:dyDescent="0.25">
      <c r="B19" s="217" t="s">
        <v>69</v>
      </c>
      <c r="C19" s="236">
        <v>18.7</v>
      </c>
      <c r="D19" s="236">
        <v>41</v>
      </c>
      <c r="E19" s="236">
        <v>61.5</v>
      </c>
      <c r="F19" s="203"/>
      <c r="G19" s="156"/>
      <c r="H19" s="156"/>
    </row>
    <row r="20" spans="1:42" ht="12.75" hidden="1" customHeight="1" x14ac:dyDescent="0.25">
      <c r="B20" s="219" t="s">
        <v>71</v>
      </c>
      <c r="C20" s="78">
        <f>+C17*C9</f>
        <v>35.700000000000003</v>
      </c>
      <c r="D20" s="78">
        <f>+D17*D9</f>
        <v>72.100000000000009</v>
      </c>
      <c r="E20" s="78">
        <f>+E17*E9</f>
        <v>107.10000000000001</v>
      </c>
      <c r="F20" s="203"/>
      <c r="G20" s="156"/>
      <c r="H20" s="156"/>
    </row>
    <row r="21" spans="1:42" ht="12.75" hidden="1" customHeight="1" x14ac:dyDescent="0.25">
      <c r="B21" s="262"/>
      <c r="C21" s="215"/>
      <c r="D21" s="215"/>
      <c r="E21" s="215"/>
      <c r="F21" s="203"/>
      <c r="G21" s="155"/>
      <c r="H21" s="155"/>
    </row>
    <row r="22" spans="1:42" ht="12.75" hidden="1" customHeight="1" x14ac:dyDescent="0.25">
      <c r="B22" s="77"/>
      <c r="C22" s="215"/>
      <c r="D22" s="215"/>
      <c r="E22" s="215"/>
      <c r="F22" s="203"/>
    </row>
    <row r="23" spans="1:42" ht="12.75" customHeight="1" x14ac:dyDescent="0.25">
      <c r="B23" s="261"/>
      <c r="C23" s="215"/>
      <c r="D23" s="215"/>
      <c r="E23" s="215"/>
      <c r="F23" s="203"/>
    </row>
    <row r="24" spans="1:42" ht="12.75" customHeight="1" x14ac:dyDescent="0.25">
      <c r="B24" s="86" t="s">
        <v>88</v>
      </c>
      <c r="C24" s="215"/>
      <c r="D24" s="215"/>
      <c r="E24" s="215"/>
      <c r="F24" s="203"/>
    </row>
    <row r="25" spans="1:42" ht="12.75" customHeight="1" x14ac:dyDescent="0.25">
      <c r="B25" s="87" t="s">
        <v>49</v>
      </c>
      <c r="C25" s="215"/>
      <c r="D25" s="215"/>
      <c r="E25" s="215"/>
      <c r="F25" s="203"/>
    </row>
    <row r="26" spans="1:42" ht="18" customHeight="1" x14ac:dyDescent="0.25">
      <c r="A26" s="46"/>
      <c r="B26" s="46"/>
      <c r="C26" s="233" t="s">
        <v>92</v>
      </c>
      <c r="D26" s="234">
        <f>SUM(C20:E20)</f>
        <v>214.90000000000003</v>
      </c>
      <c r="E26" s="235" t="s">
        <v>276</v>
      </c>
      <c r="F26" s="46"/>
      <c r="G26" s="46"/>
      <c r="H26" s="46"/>
    </row>
    <row r="27" spans="1:42" ht="18" customHeight="1" x14ac:dyDescent="0.25">
      <c r="A27" s="35"/>
      <c r="B27" s="35"/>
      <c r="C27" s="220" t="s">
        <v>94</v>
      </c>
      <c r="D27" s="70">
        <f>ROUND(+D26/35,0)</f>
        <v>6</v>
      </c>
      <c r="E27" s="226" t="s">
        <v>4</v>
      </c>
      <c r="F27" s="35"/>
      <c r="G27" s="35"/>
      <c r="H27" s="35"/>
    </row>
    <row r="28" spans="1:42" ht="12.75" customHeight="1" x14ac:dyDescent="0.25">
      <c r="A28" s="39"/>
      <c r="B28" s="498" t="s">
        <v>8</v>
      </c>
      <c r="C28" s="498"/>
      <c r="D28" s="498"/>
      <c r="E28" s="498"/>
      <c r="F28" s="498"/>
      <c r="G28" s="498"/>
      <c r="H28" s="35"/>
    </row>
    <row r="29" spans="1:42" ht="18" customHeight="1" x14ac:dyDescent="0.25">
      <c r="A29" s="46"/>
      <c r="B29" s="46"/>
      <c r="C29" s="233" t="s">
        <v>95</v>
      </c>
      <c r="D29" s="234">
        <f>SUM(C17*C19+D17*D19+E17*E19)</f>
        <v>8484</v>
      </c>
      <c r="E29" s="235" t="s">
        <v>3</v>
      </c>
      <c r="F29" s="46"/>
      <c r="G29" s="46"/>
      <c r="H29" s="46"/>
    </row>
    <row r="30" spans="1:4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7" customFormat="1" ht="17.399999999999999" x14ac:dyDescent="0.25">
      <c r="A33" s="23"/>
      <c r="B33" s="23"/>
      <c r="C33" s="23"/>
      <c r="D33" s="23"/>
      <c r="E33" s="23"/>
      <c r="F33" s="23"/>
      <c r="G33" s="23"/>
      <c r="H33" s="223" t="s">
        <v>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24" t="s">
        <v>55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54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99" t="s">
        <v>58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199" t="s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25" t="s">
        <v>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7" customFormat="1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2.75" customHeight="1" x14ac:dyDescent="0.25"/>
    <row r="51" spans="1:42" ht="12.75" customHeight="1" x14ac:dyDescent="0.25"/>
    <row r="52" spans="1:42" ht="12.75" customHeight="1" x14ac:dyDescent="0.25"/>
    <row r="53" spans="1:42" ht="12.75" customHeight="1" x14ac:dyDescent="0.25"/>
    <row r="54" spans="1:42" ht="12.75" customHeight="1" x14ac:dyDescent="0.25"/>
  </sheetData>
  <sheetProtection algorithmName="SHA-512" hashValue="uOORwdim4NTsFmc97cGMYwcGi4jc78rR4mwkeUPA2Syhr1HIGGvsPL7/tdYcsaZYZwVIdsOd4C+Kn2PM87IuCA==" saltValue="73SNLacNHsg/td0EEuMQvg==" spinCount="100000" sheet="1" selectLockedCells="1"/>
  <mergeCells count="5">
    <mergeCell ref="A1:H1"/>
    <mergeCell ref="G10:H15"/>
    <mergeCell ref="B28:G28"/>
    <mergeCell ref="C15:D15"/>
    <mergeCell ref="C18:D18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CF2BE1CC-4D0E-416B-A3A6-E733F92AB40E}"/>
  </dataValidations>
  <hyperlinks>
    <hyperlink ref="H40" r:id="rId1" xr:uid="{C27CC489-D466-4570-B0B7-1BD743377870}"/>
    <hyperlink ref="H39" r:id="rId2" xr:uid="{74632557-CFE9-4A21-BB80-DC54C61E4A45}"/>
    <hyperlink ref="H38" r:id="rId3" xr:uid="{7082C042-00E2-46D6-B661-C3DFCA78BB24}"/>
    <hyperlink ref="H36" r:id="rId4" xr:uid="{572D9A0F-AAE3-4451-A52C-5574155086D4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>
    <tabColor rgb="FFC00000"/>
  </sheetPr>
  <dimension ref="A1:BT48"/>
  <sheetViews>
    <sheetView showGridLines="0" showRowColHeaders="0" zoomScale="115" zoomScaleNormal="115" workbookViewId="0">
      <selection activeCell="H34" sqref="H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202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148" t="s">
        <v>5</v>
      </c>
      <c r="C3" s="149"/>
      <c r="D3" s="150"/>
      <c r="E3" s="96">
        <v>200</v>
      </c>
      <c r="F3" s="2"/>
      <c r="G3" s="2"/>
      <c r="H3" s="3"/>
    </row>
    <row r="4" spans="1:8" ht="18" customHeight="1" x14ac:dyDescent="0.3">
      <c r="A4" s="22"/>
      <c r="B4" s="151"/>
      <c r="C4" s="149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151"/>
      <c r="C5" s="149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295</v>
      </c>
      <c r="D7" s="454" t="s">
        <v>296</v>
      </c>
      <c r="E7" s="247"/>
      <c r="F7" s="253"/>
      <c r="G7" s="253"/>
      <c r="H7" s="1"/>
    </row>
    <row r="8" spans="1:8" ht="18" customHeight="1" thickTop="1" x14ac:dyDescent="0.3">
      <c r="A8" s="22"/>
      <c r="B8" s="103" t="s">
        <v>11</v>
      </c>
      <c r="C8" s="88">
        <v>0.6</v>
      </c>
      <c r="D8" s="89">
        <v>0.4</v>
      </c>
      <c r="E8" s="74">
        <f>SUM(A8,B8,C8,D8)</f>
        <v>1</v>
      </c>
      <c r="F8" s="254"/>
      <c r="G8" s="254"/>
      <c r="H8" s="1"/>
    </row>
    <row r="9" spans="1:8" ht="18.75" hidden="1" customHeight="1" x14ac:dyDescent="0.25">
      <c r="A9" s="22"/>
      <c r="B9" s="51" t="s">
        <v>66</v>
      </c>
      <c r="C9" s="104">
        <v>0.45</v>
      </c>
      <c r="D9" s="459">
        <v>1.1805000000000001</v>
      </c>
      <c r="E9" s="248"/>
      <c r="F9" s="161"/>
      <c r="G9" s="161"/>
    </row>
    <row r="10" spans="1:8" ht="12.75" customHeight="1" x14ac:dyDescent="0.25">
      <c r="A10" s="22"/>
      <c r="B10" s="50" t="s">
        <v>1</v>
      </c>
      <c r="C10" s="106">
        <f>+($E$5*C8)/C9</f>
        <v>266.66666666666669</v>
      </c>
      <c r="D10" s="107">
        <f>+($E$5*D8)/D9</f>
        <v>67.767894959762813</v>
      </c>
      <c r="E10" s="249"/>
      <c r="F10" s="255"/>
      <c r="G10" s="501" t="s">
        <v>308</v>
      </c>
      <c r="H10" s="501"/>
    </row>
    <row r="11" spans="1:8" ht="12.75" customHeight="1" x14ac:dyDescent="0.25">
      <c r="A11" s="22"/>
      <c r="B11" s="51" t="s">
        <v>67</v>
      </c>
      <c r="C11" s="104">
        <v>180</v>
      </c>
      <c r="D11" s="105">
        <v>78</v>
      </c>
      <c r="E11" s="248"/>
      <c r="F11" s="161"/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13</v>
      </c>
      <c r="E12" s="248"/>
      <c r="F12" s="161"/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13</v>
      </c>
      <c r="E13" s="248"/>
      <c r="F13" s="161"/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13</v>
      </c>
      <c r="E14" s="248"/>
      <c r="F14" s="161"/>
      <c r="G14" s="501"/>
      <c r="H14" s="501"/>
    </row>
    <row r="15" spans="1:8" ht="18" customHeight="1" thickBot="1" x14ac:dyDescent="0.35">
      <c r="A15" s="22"/>
      <c r="B15" s="52" t="s">
        <v>68</v>
      </c>
      <c r="C15" s="119">
        <f>IF(MOD(C10+C13,C11)&lt;=C13,1+ROUNDDOWN(C10/C11,0),ROUNDDOWN(C10/C11,0))</f>
        <v>1</v>
      </c>
      <c r="D15" s="65">
        <f>IF(MOD(D10+D13,D11)&lt;=D13,1+ROUNDDOWN(D10/D11,0),ROUNDDOWN(D10/D11,0))</f>
        <v>1</v>
      </c>
      <c r="E15" s="250"/>
      <c r="F15" s="256"/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0</v>
      </c>
      <c r="E16" s="251"/>
      <c r="F16" s="528"/>
      <c r="G16" s="528"/>
      <c r="H16" s="528"/>
    </row>
    <row r="17" spans="1:72" ht="18" customHeight="1" x14ac:dyDescent="0.3">
      <c r="A17" s="22"/>
      <c r="B17" s="140" t="s">
        <v>65</v>
      </c>
      <c r="C17" s="123">
        <f>(C15*C11)+(ROUNDUP(C16/2,0)*C13)+(ROUNDDOWN(C16/2,0)*C14)</f>
        <v>276</v>
      </c>
      <c r="D17" s="123">
        <f>(D15*D11)+(ROUNDUP(D16/2,0)*D13)+(ROUNDDOWN(D16/2,0)*D14)</f>
        <v>78</v>
      </c>
      <c r="E17" s="251"/>
      <c r="F17" s="256"/>
      <c r="G17" s="256"/>
    </row>
    <row r="18" spans="1:72" ht="12.75" customHeight="1" x14ac:dyDescent="0.25">
      <c r="A18" s="22"/>
      <c r="B18" s="143" t="s">
        <v>70</v>
      </c>
      <c r="C18" s="78">
        <f>C11*C19</f>
        <v>2917.2150000000001</v>
      </c>
      <c r="D18" s="78">
        <f>D11*D19</f>
        <v>3285.3599999999997</v>
      </c>
      <c r="E18" s="78"/>
      <c r="F18" s="25"/>
      <c r="G18" s="25"/>
    </row>
    <row r="19" spans="1:72" ht="12.75" customHeight="1" x14ac:dyDescent="0.25">
      <c r="A19" s="22"/>
      <c r="B19" s="217" t="s">
        <v>69</v>
      </c>
      <c r="C19" s="236">
        <v>16.20675</v>
      </c>
      <c r="D19" s="218">
        <v>42.12</v>
      </c>
      <c r="E19" s="252"/>
      <c r="F19" s="257"/>
      <c r="G19" s="257"/>
    </row>
    <row r="20" spans="1:72" ht="12.75" hidden="1" customHeight="1" x14ac:dyDescent="0.25">
      <c r="A20" s="22"/>
      <c r="B20" s="219" t="s">
        <v>71</v>
      </c>
      <c r="C20" s="78">
        <f>+C17*C9</f>
        <v>124.2</v>
      </c>
      <c r="D20" s="78">
        <f>+D17*D9</f>
        <v>92.079000000000008</v>
      </c>
      <c r="E20" s="218"/>
      <c r="F20" s="161"/>
      <c r="G20" s="161"/>
    </row>
    <row r="21" spans="1:72" ht="12.75" customHeight="1" x14ac:dyDescent="0.25">
      <c r="A21" s="22"/>
      <c r="B21" s="219"/>
      <c r="C21" s="78"/>
      <c r="D21" s="78"/>
      <c r="E21" s="218"/>
      <c r="F21" s="161"/>
      <c r="G21" s="161"/>
    </row>
    <row r="22" spans="1:72" ht="12.75" customHeight="1" x14ac:dyDescent="0.25">
      <c r="A22" s="22"/>
      <c r="B22" s="86" t="s">
        <v>88</v>
      </c>
      <c r="C22" s="25"/>
      <c r="D22" s="25"/>
      <c r="E22" s="161"/>
      <c r="F22" s="161"/>
      <c r="G22" s="161"/>
    </row>
    <row r="23" spans="1:72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72" ht="18" customHeight="1" x14ac:dyDescent="0.25">
      <c r="A24" s="44"/>
      <c r="B24" s="44"/>
      <c r="C24" s="243" t="s">
        <v>92</v>
      </c>
      <c r="D24" s="234">
        <f>SUM(C20:D20)</f>
        <v>216.279</v>
      </c>
      <c r="E24" s="258" t="s">
        <v>103</v>
      </c>
      <c r="F24" s="44"/>
      <c r="G24" s="44"/>
      <c r="H24" s="46"/>
      <c r="K24" s="22"/>
    </row>
    <row r="25" spans="1:72" ht="18" customHeight="1" x14ac:dyDescent="0.25">
      <c r="A25" s="39"/>
      <c r="B25" s="39"/>
      <c r="C25" s="69" t="s">
        <v>94</v>
      </c>
      <c r="D25" s="70">
        <f>ROUND(+D24/35,0)</f>
        <v>6</v>
      </c>
      <c r="E25" s="73" t="s">
        <v>4</v>
      </c>
      <c r="F25" s="39"/>
      <c r="G25" s="39"/>
      <c r="H25" s="35"/>
    </row>
    <row r="26" spans="1:72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72" ht="18" customHeight="1" x14ac:dyDescent="0.25">
      <c r="A27" s="44"/>
      <c r="B27" s="44"/>
      <c r="C27" s="243" t="s">
        <v>95</v>
      </c>
      <c r="D27" s="234">
        <f>SUM(C17*C19+D17*D19)</f>
        <v>7758.4229999999998</v>
      </c>
      <c r="E27" s="258" t="s">
        <v>3</v>
      </c>
      <c r="F27" s="44"/>
      <c r="G27" s="44"/>
      <c r="H27" s="46"/>
    </row>
    <row r="28" spans="1:72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</row>
    <row r="29" spans="1:72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</row>
    <row r="30" spans="1:7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</row>
    <row r="31" spans="1:72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</row>
    <row r="32" spans="1:72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</row>
    <row r="33" spans="1:72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</row>
    <row r="34" spans="1:72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</row>
    <row r="35" spans="1:72" s="17" customForma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</row>
    <row r="36" spans="1:72" s="17" customForma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</row>
    <row r="37" spans="1:72" s="17" customForma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</row>
    <row r="38" spans="1:7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</row>
    <row r="39" spans="1:7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</row>
    <row r="40" spans="1:7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</row>
    <row r="41" spans="1:7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</row>
    <row r="42" spans="1:7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</row>
    <row r="43" spans="1:7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</row>
    <row r="44" spans="1:72" ht="12.75" customHeight="1" x14ac:dyDescent="0.25"/>
    <row r="45" spans="1:72" ht="12.75" customHeight="1" x14ac:dyDescent="0.25"/>
    <row r="46" spans="1:72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72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72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Dtof5MbzeVGWqn7DGcuAf4Ndjfx83uXTYyiZjmzN/LR1rgRqMX1WZTPzwyAnQe9ihQfszVMkOwY246AUOIywgg==" saltValue="3100b0EUMxu7gGjDeHIGdQ==" spinCount="100000" sheet="1" selectLockedCells="1"/>
  <mergeCells count="4">
    <mergeCell ref="A1:H1"/>
    <mergeCell ref="G10:H15"/>
    <mergeCell ref="B26:G26"/>
    <mergeCell ref="F16:H16"/>
  </mergeCells>
  <phoneticPr fontId="0" type="noConversion"/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 Projects with a higher than average number of openings and corners may require a higher allowance. " sqref="E4" xr:uid="{00000000-0002-0000-1500-000000000000}">
      <formula1>5</formula1>
      <formula2>100</formula2>
    </dataValidation>
  </dataValidations>
  <hyperlinks>
    <hyperlink ref="H38" r:id="rId1" xr:uid="{00000000-0004-0000-1500-000000000000}"/>
    <hyperlink ref="H37" r:id="rId2" xr:uid="{00000000-0004-0000-1500-000001000000}"/>
    <hyperlink ref="H36" r:id="rId3" xr:uid="{00000000-0004-0000-1500-000002000000}"/>
    <hyperlink ref="H34" r:id="rId4" xr:uid="{00000000-0004-0000-15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>
    <tabColor rgb="FFC00000"/>
  </sheetPr>
  <dimension ref="A1:AL48"/>
  <sheetViews>
    <sheetView showGridLines="0" showRowColHeaders="0" zoomScaleNormal="100" workbookViewId="0">
      <selection activeCell="C8" sqref="C8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204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295</v>
      </c>
      <c r="D7" s="454" t="s">
        <v>297</v>
      </c>
      <c r="E7" s="146" t="s">
        <v>219</v>
      </c>
      <c r="F7" s="247"/>
      <c r="G7" s="4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0.5</v>
      </c>
      <c r="E8" s="89">
        <v>0.3</v>
      </c>
      <c r="F8" s="74">
        <f>SUM(B8,C8,D8,E8)</f>
        <v>1</v>
      </c>
      <c r="G8" s="4"/>
      <c r="H8" s="1"/>
    </row>
    <row r="9" spans="1:8" ht="18.75" hidden="1" customHeight="1" x14ac:dyDescent="0.25">
      <c r="A9" s="22"/>
      <c r="B9" s="51" t="s">
        <v>66</v>
      </c>
      <c r="C9" s="104">
        <v>0.45</v>
      </c>
      <c r="D9" s="105">
        <v>1.1805000000000001</v>
      </c>
      <c r="E9" s="105">
        <v>1.33</v>
      </c>
      <c r="F9" s="248"/>
      <c r="G9" s="22"/>
    </row>
    <row r="10" spans="1:8" ht="12.75" customHeight="1" x14ac:dyDescent="0.25">
      <c r="A10" s="22"/>
      <c r="B10" s="50" t="s">
        <v>1</v>
      </c>
      <c r="C10" s="106">
        <f>+($E$5*C8)/C9</f>
        <v>88.888888888888886</v>
      </c>
      <c r="D10" s="107">
        <f>+($E$5*D8)/D9</f>
        <v>84.709868699703506</v>
      </c>
      <c r="E10" s="107">
        <f>+($E$5*E8)/E9</f>
        <v>45.112781954887218</v>
      </c>
      <c r="F10" s="249"/>
      <c r="G10" s="501" t="s">
        <v>203</v>
      </c>
      <c r="H10" s="501"/>
    </row>
    <row r="11" spans="1:8" ht="12.75" customHeight="1" x14ac:dyDescent="0.25">
      <c r="A11" s="22"/>
      <c r="B11" s="51" t="s">
        <v>67</v>
      </c>
      <c r="C11" s="104">
        <v>180</v>
      </c>
      <c r="D11" s="105">
        <v>78</v>
      </c>
      <c r="E11" s="105">
        <v>52</v>
      </c>
      <c r="F11" s="248"/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13</v>
      </c>
      <c r="E12" s="105">
        <v>13</v>
      </c>
      <c r="F12" s="248"/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13</v>
      </c>
      <c r="E13" s="105">
        <v>13</v>
      </c>
      <c r="F13" s="248"/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13</v>
      </c>
      <c r="E14" s="105">
        <v>13</v>
      </c>
      <c r="F14" s="248"/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50"/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528" t="s">
        <v>309</v>
      </c>
      <c r="G16" s="528"/>
      <c r="H16" s="528"/>
    </row>
    <row r="17" spans="1:38" ht="18" customHeight="1" x14ac:dyDescent="0.25">
      <c r="A17" s="22"/>
      <c r="B17" s="140" t="s">
        <v>65</v>
      </c>
      <c r="C17" s="123">
        <f>(C15*C11)+(ROUNDUP(C16/2,0)*C13)+(ROUNDDOWN(C16/2,0)*C14)</f>
        <v>96</v>
      </c>
      <c r="D17" s="123">
        <f>(D15*D11)+(ROUNDUP(D16/2,0)*D13)+(ROUNDDOWN(D16/2,0)*D14)</f>
        <v>91</v>
      </c>
      <c r="E17" s="123">
        <f>(E15*E11)+(ROUNDUP(E16/2,0)*E13)+(ROUNDDOWN(E16/2,0)*E14)</f>
        <v>52</v>
      </c>
      <c r="F17" s="251"/>
      <c r="G17" s="22"/>
    </row>
    <row r="18" spans="1:38" ht="12.75" customHeight="1" x14ac:dyDescent="0.25">
      <c r="A18" s="22"/>
      <c r="B18" s="143" t="s">
        <v>70</v>
      </c>
      <c r="C18" s="78">
        <f>C11*C19</f>
        <v>2917.2150000000001</v>
      </c>
      <c r="D18" s="78">
        <f>D11*D19</f>
        <v>3285.3599999999997</v>
      </c>
      <c r="E18" s="78">
        <f>E11*E19</f>
        <v>2545.4</v>
      </c>
      <c r="F18" s="78"/>
      <c r="G18" s="22"/>
    </row>
    <row r="19" spans="1:38" ht="12.75" customHeight="1" x14ac:dyDescent="0.25">
      <c r="A19" s="22"/>
      <c r="B19" s="217" t="s">
        <v>69</v>
      </c>
      <c r="C19" s="236">
        <v>16.20675</v>
      </c>
      <c r="D19" s="236">
        <v>42.12</v>
      </c>
      <c r="E19" s="236">
        <v>48.95</v>
      </c>
      <c r="F19" s="252"/>
      <c r="G19" s="22"/>
    </row>
    <row r="20" spans="1:38" ht="12.75" hidden="1" customHeight="1" x14ac:dyDescent="0.25">
      <c r="A20" s="22"/>
      <c r="B20" s="219" t="s">
        <v>71</v>
      </c>
      <c r="C20" s="78">
        <f>+C17*C9</f>
        <v>43.2</v>
      </c>
      <c r="D20" s="78">
        <f>+D17*D9</f>
        <v>107.42550000000001</v>
      </c>
      <c r="E20" s="78">
        <f>+E17*E9</f>
        <v>69.16</v>
      </c>
      <c r="F20" s="218"/>
      <c r="G20" s="22"/>
    </row>
    <row r="21" spans="1:38" ht="12.75" customHeight="1" x14ac:dyDescent="0.25">
      <c r="A21" s="22"/>
      <c r="B21" s="240"/>
      <c r="C21" s="240"/>
      <c r="D21" s="240"/>
      <c r="E21" s="240"/>
      <c r="F21" s="240"/>
      <c r="G21" s="22"/>
    </row>
    <row r="22" spans="1:38" ht="12.75" customHeight="1" x14ac:dyDescent="0.25">
      <c r="A22" s="22"/>
      <c r="B22" s="86" t="s">
        <v>88</v>
      </c>
      <c r="C22" s="240"/>
      <c r="D22" s="240"/>
      <c r="E22" s="240"/>
      <c r="F22" s="240"/>
      <c r="G22" s="22"/>
    </row>
    <row r="23" spans="1:38" ht="12.75" customHeight="1" x14ac:dyDescent="0.25">
      <c r="A23" s="22"/>
      <c r="B23" s="87" t="s">
        <v>49</v>
      </c>
      <c r="C23" s="240"/>
      <c r="D23" s="240"/>
      <c r="E23" s="240"/>
      <c r="F23" s="240"/>
      <c r="G23" s="22"/>
    </row>
    <row r="24" spans="1:38" ht="18" customHeight="1" x14ac:dyDescent="0.25">
      <c r="A24" s="44"/>
      <c r="B24" s="44"/>
      <c r="C24" s="243" t="s">
        <v>92</v>
      </c>
      <c r="D24" s="234">
        <f>SUM(C20:E20)</f>
        <v>219.78550000000001</v>
      </c>
      <c r="E24" s="244" t="s">
        <v>103</v>
      </c>
      <c r="F24" s="44"/>
      <c r="G24" s="44"/>
      <c r="H24" s="46"/>
      <c r="K24" s="22"/>
    </row>
    <row r="25" spans="1:38" ht="18" customHeight="1" x14ac:dyDescent="0.25">
      <c r="A25" s="39"/>
      <c r="B25" s="39"/>
      <c r="C25" s="69" t="s">
        <v>94</v>
      </c>
      <c r="D25" s="70">
        <f>ROUND(+D24/35,0)</f>
        <v>6</v>
      </c>
      <c r="E25" s="245" t="s">
        <v>4</v>
      </c>
      <c r="F25" s="39"/>
      <c r="G25" s="39"/>
      <c r="H25" s="35"/>
    </row>
    <row r="26" spans="1:3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38" ht="18" customHeight="1" x14ac:dyDescent="0.25">
      <c r="A27" s="44"/>
      <c r="B27" s="44"/>
      <c r="C27" s="243" t="s">
        <v>95</v>
      </c>
      <c r="D27" s="234">
        <f>SUM(C17*C19+D17*D19+E17*E19)</f>
        <v>7934.1679999999997</v>
      </c>
      <c r="E27" s="244" t="s">
        <v>3</v>
      </c>
      <c r="F27" s="44"/>
      <c r="G27" s="44"/>
      <c r="H27" s="46"/>
    </row>
    <row r="28" spans="1:3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ht="12.75" customHeight="1" x14ac:dyDescent="0.25"/>
    <row r="46" spans="1:38" ht="21" customHeight="1" x14ac:dyDescent="0.3">
      <c r="B46" s="15" t="s">
        <v>16</v>
      </c>
      <c r="C46" s="114"/>
      <c r="D46" s="114"/>
      <c r="E46" s="114"/>
      <c r="F46" s="114"/>
      <c r="G46" s="114"/>
      <c r="H46" s="114"/>
    </row>
    <row r="47" spans="1:38" ht="21" customHeight="1" x14ac:dyDescent="0.25">
      <c r="B47" s="13"/>
      <c r="C47" s="112"/>
      <c r="D47" s="112"/>
      <c r="E47" s="112"/>
      <c r="F47" s="112"/>
      <c r="G47" s="112"/>
      <c r="H47" s="112"/>
    </row>
    <row r="48" spans="1:38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I/OUwNeSeBo+4YpJSiqLTWP0OIMFvlf98qyi52+CdDnBGlMKZhlPyysFAVB6FJBLMa1jpF9eBowTMPsh891yrQ==" saltValue="mYKSQrzEEkFz1RUMd07r0g==" spinCount="100000" sheet="1" selectLockedCells="1"/>
  <mergeCells count="4">
    <mergeCell ref="A1:H1"/>
    <mergeCell ref="G10:H15"/>
    <mergeCell ref="B26:G26"/>
    <mergeCell ref="F16:H16"/>
  </mergeCells>
  <phoneticPr fontId="0" type="noConversion"/>
  <dataValidations disablePrompts="1" xWindow="493" yWindow="194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600-000000000000}"/>
  </dataValidations>
  <hyperlinks>
    <hyperlink ref="H38" r:id="rId1" xr:uid="{00000000-0004-0000-1600-000000000000}"/>
    <hyperlink ref="H37" r:id="rId2" xr:uid="{00000000-0004-0000-1600-000001000000}"/>
    <hyperlink ref="H36" r:id="rId3" xr:uid="{00000000-0004-0000-1600-000002000000}"/>
    <hyperlink ref="H34" r:id="rId4" xr:uid="{00000000-0004-0000-16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>
    <tabColor rgb="FFC00000"/>
  </sheetPr>
  <dimension ref="A1:AY48"/>
  <sheetViews>
    <sheetView showGridLines="0" showRowColHeaders="0" zoomScaleNormal="100" workbookViewId="0">
      <selection activeCell="E8" sqref="E8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205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295</v>
      </c>
      <c r="D7" s="454" t="s">
        <v>296</v>
      </c>
      <c r="E7" s="102" t="s">
        <v>219</v>
      </c>
      <c r="F7" s="238" t="s">
        <v>43</v>
      </c>
      <c r="G7" s="239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0.4</v>
      </c>
      <c r="E8" s="89">
        <v>0.3</v>
      </c>
      <c r="F8" s="152">
        <v>0.1</v>
      </c>
      <c r="G8" s="74">
        <f>SUM(C8,D8,E8,F8)</f>
        <v>1.0000000000000002</v>
      </c>
      <c r="H8" s="1"/>
    </row>
    <row r="9" spans="1:8" ht="18.75" hidden="1" customHeight="1" x14ac:dyDescent="0.25">
      <c r="A9" s="22"/>
      <c r="B9" s="51" t="s">
        <v>66</v>
      </c>
      <c r="C9" s="104">
        <v>0.45</v>
      </c>
      <c r="D9" s="105">
        <v>1.1805000000000001</v>
      </c>
      <c r="E9" s="105">
        <v>1.33</v>
      </c>
      <c r="F9" s="105">
        <v>1.79</v>
      </c>
      <c r="G9" s="240"/>
    </row>
    <row r="10" spans="1:8" ht="12.75" customHeight="1" x14ac:dyDescent="0.25">
      <c r="A10" s="22"/>
      <c r="B10" s="50" t="s">
        <v>1</v>
      </c>
      <c r="C10" s="106">
        <f>+($E$5*C8)/C9</f>
        <v>88.888888888888886</v>
      </c>
      <c r="D10" s="107">
        <f>+($E$5*D8)/D9</f>
        <v>67.767894959762813</v>
      </c>
      <c r="E10" s="107">
        <f>+($E$5*E8)/E9</f>
        <v>45.112781954887218</v>
      </c>
      <c r="F10" s="241">
        <f>+($E$5*F8)/F9</f>
        <v>11.173184357541899</v>
      </c>
      <c r="G10" s="501" t="s">
        <v>203</v>
      </c>
      <c r="H10" s="501"/>
    </row>
    <row r="11" spans="1:8" ht="12.75" customHeight="1" x14ac:dyDescent="0.25">
      <c r="A11" s="22"/>
      <c r="B11" s="51" t="s">
        <v>67</v>
      </c>
      <c r="C11" s="104">
        <v>180</v>
      </c>
      <c r="D11" s="105">
        <v>78</v>
      </c>
      <c r="E11" s="105">
        <v>52</v>
      </c>
      <c r="F11" s="242">
        <v>39</v>
      </c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13</v>
      </c>
      <c r="E12" s="105">
        <v>13</v>
      </c>
      <c r="F12" s="242">
        <v>13</v>
      </c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13</v>
      </c>
      <c r="E13" s="105">
        <v>13</v>
      </c>
      <c r="F13" s="242">
        <v>13</v>
      </c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13</v>
      </c>
      <c r="E14" s="105">
        <v>13</v>
      </c>
      <c r="F14" s="242">
        <v>13</v>
      </c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0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1</v>
      </c>
      <c r="G16" s="529" t="s">
        <v>309</v>
      </c>
      <c r="H16" s="528"/>
    </row>
    <row r="17" spans="1:51" ht="18" customHeight="1" x14ac:dyDescent="0.25">
      <c r="A17" s="22"/>
      <c r="B17" s="140" t="s">
        <v>65</v>
      </c>
      <c r="C17" s="123">
        <f>(C15*C11)+(ROUNDUP(C16/2,0)*C13)+(ROUNDDOWN(C16/2,0)*C14)</f>
        <v>96</v>
      </c>
      <c r="D17" s="123">
        <f>(D15*D11)+(ROUNDUP(D16/2,0)*D13)+(ROUNDDOWN(D16/2,0)*D14)</f>
        <v>78</v>
      </c>
      <c r="E17" s="123">
        <f>(E15*E11)+(ROUNDUP(E16/2,0)*E13)+(ROUNDDOWN(E16/2,0)*E14)</f>
        <v>52</v>
      </c>
      <c r="F17" s="123">
        <f>(F15*F11)+(ROUNDUP(F16/2,0)*F13)+(ROUNDDOWN(F16/2,0)*F14)</f>
        <v>13</v>
      </c>
      <c r="G17" s="529"/>
      <c r="H17" s="528"/>
    </row>
    <row r="18" spans="1:51" ht="12.75" customHeight="1" x14ac:dyDescent="0.25">
      <c r="A18" s="22"/>
      <c r="B18" s="143" t="s">
        <v>70</v>
      </c>
      <c r="C18" s="78">
        <f>C11*C19</f>
        <v>2917.2150000000001</v>
      </c>
      <c r="D18" s="78">
        <f>D11*D19</f>
        <v>3285.3599999999997</v>
      </c>
      <c r="E18" s="78">
        <f>E11*E19</f>
        <v>2545.4</v>
      </c>
      <c r="F18" s="78">
        <f>F11*F19</f>
        <v>2717.442</v>
      </c>
      <c r="G18" s="22"/>
    </row>
    <row r="19" spans="1:51" ht="12.75" customHeight="1" x14ac:dyDescent="0.25">
      <c r="A19" s="22"/>
      <c r="B19" s="217" t="s">
        <v>69</v>
      </c>
      <c r="C19" s="236">
        <v>16.20675</v>
      </c>
      <c r="D19" s="236">
        <v>42.12</v>
      </c>
      <c r="E19" s="236">
        <v>48.95</v>
      </c>
      <c r="F19" s="236">
        <v>69.677999999999997</v>
      </c>
      <c r="G19" s="22"/>
    </row>
    <row r="20" spans="1:51" ht="12.75" hidden="1" customHeight="1" x14ac:dyDescent="0.25">
      <c r="A20" s="22"/>
      <c r="B20" s="24" t="s">
        <v>71</v>
      </c>
      <c r="C20" s="25">
        <f>+C17*C9</f>
        <v>43.2</v>
      </c>
      <c r="D20" s="25">
        <f>+D17*D9</f>
        <v>92.079000000000008</v>
      </c>
      <c r="E20" s="25">
        <f>+E17*E9</f>
        <v>69.16</v>
      </c>
      <c r="F20" s="25">
        <f>+F17*F9</f>
        <v>23.27</v>
      </c>
      <c r="G20" s="22"/>
    </row>
    <row r="21" spans="1:51" ht="12.75" customHeight="1" x14ac:dyDescent="0.25">
      <c r="A21" s="22"/>
      <c r="B21" s="24"/>
      <c r="C21" s="25"/>
      <c r="D21" s="25"/>
      <c r="E21" s="25"/>
      <c r="F21" s="25"/>
      <c r="G21" s="22"/>
    </row>
    <row r="22" spans="1:51" ht="12.75" customHeight="1" x14ac:dyDescent="0.25">
      <c r="A22" s="22"/>
      <c r="B22" s="86" t="s">
        <v>88</v>
      </c>
      <c r="C22" s="22"/>
      <c r="D22" s="22"/>
      <c r="E22" s="22"/>
      <c r="F22" s="22"/>
      <c r="G22" s="22"/>
    </row>
    <row r="23" spans="1:51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51" ht="18" customHeight="1" x14ac:dyDescent="0.25">
      <c r="A24" s="44"/>
      <c r="B24" s="44"/>
      <c r="C24" s="243" t="s">
        <v>92</v>
      </c>
      <c r="D24" s="234">
        <f>SUM(C20:E20)</f>
        <v>204.43899999999999</v>
      </c>
      <c r="E24" s="244" t="s">
        <v>103</v>
      </c>
      <c r="F24" s="44"/>
      <c r="G24" s="44"/>
      <c r="H24" s="46"/>
    </row>
    <row r="25" spans="1:51" ht="18" customHeight="1" x14ac:dyDescent="0.25">
      <c r="A25" s="39"/>
      <c r="B25" s="39"/>
      <c r="C25" s="69" t="s">
        <v>94</v>
      </c>
      <c r="D25" s="70">
        <f>ROUND(+D24/35,0)</f>
        <v>6</v>
      </c>
      <c r="E25" s="245" t="s">
        <v>4</v>
      </c>
      <c r="F25" s="39"/>
      <c r="G25" s="39"/>
      <c r="H25" s="35"/>
    </row>
    <row r="26" spans="1:51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51" ht="18" customHeight="1" x14ac:dyDescent="0.25">
      <c r="A27" s="44"/>
      <c r="B27" s="44"/>
      <c r="C27" s="243" t="s">
        <v>95</v>
      </c>
      <c r="D27" s="234">
        <f>SUM(C17*C19+D17*D19+E17*E19+F17*F19)</f>
        <v>8292.4220000000005</v>
      </c>
      <c r="E27" s="244" t="s">
        <v>3</v>
      </c>
      <c r="F27" s="44"/>
      <c r="G27" s="44"/>
      <c r="H27" s="46"/>
    </row>
    <row r="28" spans="1:5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.75" customHeight="1" x14ac:dyDescent="0.25"/>
    <row r="46" spans="1:51" ht="21" customHeight="1" x14ac:dyDescent="0.3">
      <c r="B46" s="15" t="s">
        <v>16</v>
      </c>
      <c r="C46" s="114"/>
      <c r="D46" s="114"/>
      <c r="E46" s="114"/>
      <c r="F46" s="114"/>
      <c r="G46" s="114"/>
      <c r="H46" s="114"/>
    </row>
    <row r="47" spans="1:51" ht="21" customHeight="1" x14ac:dyDescent="0.25">
      <c r="B47" s="13"/>
      <c r="C47" s="112"/>
      <c r="D47" s="112"/>
      <c r="E47" s="112"/>
      <c r="F47" s="112"/>
      <c r="G47" s="112"/>
      <c r="H47" s="112"/>
    </row>
    <row r="48" spans="1:51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unUWaX8/MQdjetsPcR5mAcQ4yL/uXhsa/ylSDVwgSRTiC+O80+3pmN5eSwqvL0Sxe2HwQNxWi9cKWLO8r9sAnQ==" saltValue="mXZhilxsw0NpFO1wgDEbAw==" spinCount="100000" sheet="1" selectLockedCells="1"/>
  <mergeCells count="4">
    <mergeCell ref="A1:H1"/>
    <mergeCell ref="G10:H15"/>
    <mergeCell ref="B26:G26"/>
    <mergeCell ref="G16:H17"/>
  </mergeCells>
  <phoneticPr fontId="25" type="noConversion"/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700-000000000000}"/>
  </dataValidations>
  <hyperlinks>
    <hyperlink ref="H38" r:id="rId1" xr:uid="{00000000-0004-0000-1700-000000000000}"/>
    <hyperlink ref="H37" r:id="rId2" xr:uid="{00000000-0004-0000-1700-000001000000}"/>
    <hyperlink ref="H36" r:id="rId3" xr:uid="{00000000-0004-0000-1700-000002000000}"/>
    <hyperlink ref="H34" r:id="rId4" xr:uid="{00000000-0004-0000-17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5E84-FB73-45E4-8A80-CFF1335B9DFB}">
  <sheetPr>
    <tabColor rgb="FFC00000"/>
  </sheetPr>
  <dimension ref="A1:AY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333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1" t="s">
        <v>295</v>
      </c>
      <c r="D7" s="454" t="s">
        <v>52</v>
      </c>
      <c r="E7" s="146" t="s">
        <v>296</v>
      </c>
      <c r="F7" s="238" t="s">
        <v>219</v>
      </c>
      <c r="G7" s="239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0.2</v>
      </c>
      <c r="E8" s="89">
        <v>0.4</v>
      </c>
      <c r="F8" s="152">
        <v>0.2</v>
      </c>
      <c r="G8" s="74">
        <f>SUM(C8,D8,E8,F8)</f>
        <v>1</v>
      </c>
      <c r="H8" s="1"/>
    </row>
    <row r="9" spans="1:8" ht="18.75" hidden="1" customHeight="1" x14ac:dyDescent="0.25">
      <c r="A9" s="22"/>
      <c r="B9" s="51" t="s">
        <v>66</v>
      </c>
      <c r="C9" s="104">
        <v>0.45</v>
      </c>
      <c r="D9" s="105">
        <v>0.88</v>
      </c>
      <c r="E9" s="105">
        <v>1.1805000000000001</v>
      </c>
      <c r="F9" s="105">
        <v>1.33</v>
      </c>
      <c r="G9" s="240"/>
    </row>
    <row r="10" spans="1:8" ht="12.75" customHeight="1" x14ac:dyDescent="0.25">
      <c r="A10" s="22"/>
      <c r="B10" s="50" t="s">
        <v>1</v>
      </c>
      <c r="C10" s="106">
        <f>+($E$5*C8)/C9</f>
        <v>88.888888888888886</v>
      </c>
      <c r="D10" s="107">
        <f>+($E$5*D8)/D9</f>
        <v>45.454545454545453</v>
      </c>
      <c r="E10" s="107">
        <f>+($E$5*E8)/E9</f>
        <v>67.767894959762813</v>
      </c>
      <c r="F10" s="107">
        <f>+($E$5*F8)/F9</f>
        <v>30.075187969924812</v>
      </c>
      <c r="G10" s="501" t="s">
        <v>203</v>
      </c>
      <c r="H10" s="501"/>
    </row>
    <row r="11" spans="1:8" ht="12.75" customHeight="1" x14ac:dyDescent="0.25">
      <c r="A11" s="22"/>
      <c r="B11" s="51" t="s">
        <v>67</v>
      </c>
      <c r="C11" s="104">
        <v>180</v>
      </c>
      <c r="D11" s="105">
        <v>104</v>
      </c>
      <c r="E11" s="105">
        <v>78</v>
      </c>
      <c r="F11" s="105">
        <v>52</v>
      </c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12</v>
      </c>
      <c r="D12" s="138">
        <v>13</v>
      </c>
      <c r="E12" s="105">
        <v>13</v>
      </c>
      <c r="F12" s="105">
        <v>13</v>
      </c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12</v>
      </c>
      <c r="D13" s="138">
        <v>13</v>
      </c>
      <c r="E13" s="105">
        <v>13</v>
      </c>
      <c r="F13" s="105">
        <v>13</v>
      </c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12</v>
      </c>
      <c r="D14" s="138">
        <v>13</v>
      </c>
      <c r="E14" s="105">
        <v>13</v>
      </c>
      <c r="F14" s="105">
        <v>13</v>
      </c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4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3</v>
      </c>
      <c r="G16" s="529" t="s">
        <v>332</v>
      </c>
      <c r="H16" s="528"/>
    </row>
    <row r="17" spans="1:51" ht="18" customHeight="1" x14ac:dyDescent="0.25">
      <c r="A17" s="22"/>
      <c r="B17" s="140" t="s">
        <v>65</v>
      </c>
      <c r="C17" s="461">
        <f>(C15*C11)+(ROUNDUP(C16/2,0)*C13)+(ROUNDDOWN(C16/2,0)*C14)</f>
        <v>96</v>
      </c>
      <c r="D17" s="461">
        <f>(D15*D11)+(ROUNDUP(D16/2,0)*D13)+(ROUNDDOWN(D16/2,0)*D14)</f>
        <v>52</v>
      </c>
      <c r="E17" s="461">
        <f>(E15*E11)+(ROUNDUP(E16/2,0)*E13)+(ROUNDDOWN(E16/2,0)*E14)</f>
        <v>78</v>
      </c>
      <c r="F17" s="461">
        <f>(F15*F11)+(ROUNDUP(F16/2,0)*F13)+(ROUNDDOWN(F16/2,0)*F14)</f>
        <v>39</v>
      </c>
      <c r="G17" s="529"/>
      <c r="H17" s="528"/>
    </row>
    <row r="18" spans="1:51" ht="12.75" customHeight="1" x14ac:dyDescent="0.25">
      <c r="A18" s="22"/>
      <c r="B18" s="143" t="s">
        <v>70</v>
      </c>
      <c r="C18" s="78">
        <f>C11*C19</f>
        <v>2917.2150000000001</v>
      </c>
      <c r="D18" s="78">
        <f>D11*D19</f>
        <v>3462.16</v>
      </c>
      <c r="E18" s="78">
        <f>E11*E19</f>
        <v>3285.3599999999997</v>
      </c>
      <c r="F18" s="78">
        <f>F11*F19</f>
        <v>2545.4</v>
      </c>
      <c r="G18" s="22"/>
    </row>
    <row r="19" spans="1:51" ht="12.75" customHeight="1" x14ac:dyDescent="0.25">
      <c r="A19" s="22"/>
      <c r="B19" s="217" t="s">
        <v>69</v>
      </c>
      <c r="C19" s="236">
        <v>16.20675</v>
      </c>
      <c r="D19" s="236">
        <v>33.29</v>
      </c>
      <c r="E19" s="236">
        <v>42.12</v>
      </c>
      <c r="F19" s="236">
        <v>48.95</v>
      </c>
      <c r="G19" s="22"/>
    </row>
    <row r="20" spans="1:51" ht="12.75" hidden="1" customHeight="1" x14ac:dyDescent="0.25">
      <c r="A20" s="22"/>
      <c r="B20" s="24" t="s">
        <v>71</v>
      </c>
      <c r="C20" s="25">
        <f>+C17*C9</f>
        <v>43.2</v>
      </c>
      <c r="D20" s="25">
        <f>+D17*D9</f>
        <v>45.76</v>
      </c>
      <c r="E20" s="25">
        <f>+E17*E9</f>
        <v>92.079000000000008</v>
      </c>
      <c r="F20" s="25">
        <f>+F17*F9</f>
        <v>51.870000000000005</v>
      </c>
      <c r="G20" s="22"/>
    </row>
    <row r="21" spans="1:51" ht="12.75" customHeight="1" x14ac:dyDescent="0.25">
      <c r="A21" s="22"/>
      <c r="B21" s="24"/>
      <c r="C21" s="25"/>
      <c r="D21" s="25"/>
      <c r="E21" s="25"/>
      <c r="F21" s="25"/>
      <c r="G21" s="22"/>
    </row>
    <row r="22" spans="1:51" ht="12.75" customHeight="1" x14ac:dyDescent="0.25">
      <c r="A22" s="22"/>
      <c r="B22" s="86" t="s">
        <v>88</v>
      </c>
      <c r="C22" s="22"/>
      <c r="D22" s="22"/>
      <c r="E22" s="22"/>
      <c r="F22" s="22"/>
      <c r="G22" s="22"/>
    </row>
    <row r="23" spans="1:51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51" ht="18" customHeight="1" x14ac:dyDescent="0.25">
      <c r="A24" s="44"/>
      <c r="B24" s="44"/>
      <c r="C24" s="243" t="s">
        <v>92</v>
      </c>
      <c r="D24" s="234">
        <f>SUM(C20:E20)</f>
        <v>181.03900000000002</v>
      </c>
      <c r="E24" s="244" t="s">
        <v>103</v>
      </c>
      <c r="F24" s="44"/>
      <c r="G24" s="44"/>
      <c r="H24" s="46"/>
    </row>
    <row r="25" spans="1:51" ht="18" customHeight="1" x14ac:dyDescent="0.25">
      <c r="A25" s="39"/>
      <c r="B25" s="39"/>
      <c r="C25" s="69" t="s">
        <v>94</v>
      </c>
      <c r="D25" s="70">
        <f>ROUND(+D24/35,0)</f>
        <v>5</v>
      </c>
      <c r="E25" s="245" t="s">
        <v>4</v>
      </c>
      <c r="F25" s="39"/>
      <c r="G25" s="39"/>
      <c r="H25" s="35"/>
    </row>
    <row r="26" spans="1:51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51" ht="18" customHeight="1" x14ac:dyDescent="0.25">
      <c r="A27" s="44"/>
      <c r="B27" s="44"/>
      <c r="C27" s="243" t="s">
        <v>95</v>
      </c>
      <c r="D27" s="234">
        <f>SUM(C17*C19+D17*D19+E17*E19+F17*F19)</f>
        <v>8481.3379999999997</v>
      </c>
      <c r="E27" s="244" t="s">
        <v>3</v>
      </c>
      <c r="F27" s="44"/>
      <c r="G27" s="44"/>
      <c r="H27" s="46"/>
    </row>
    <row r="28" spans="1:5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.75" customHeight="1" x14ac:dyDescent="0.25"/>
    <row r="46" spans="1:51" ht="21" customHeight="1" x14ac:dyDescent="0.3">
      <c r="B46" s="15" t="s">
        <v>16</v>
      </c>
      <c r="C46" s="114"/>
      <c r="D46" s="114"/>
      <c r="E46" s="114"/>
      <c r="F46" s="114"/>
      <c r="G46" s="114"/>
      <c r="H46" s="114"/>
    </row>
    <row r="47" spans="1:51" ht="21" customHeight="1" x14ac:dyDescent="0.25">
      <c r="B47" s="13"/>
      <c r="C47" s="112"/>
      <c r="D47" s="112"/>
      <c r="E47" s="112"/>
      <c r="F47" s="112"/>
      <c r="G47" s="112"/>
      <c r="H47" s="112"/>
    </row>
    <row r="48" spans="1:51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htxS5HxxaINvnSACoLn+wOmhNGeeFGukmmVx6TKEbMIMEIlA451XQYqrUiXeXjxEPPUoLEuZDkU1SK56VYeI+A==" saltValue="rrgEBpMBYxYFE2w5IfTMMg==" spinCount="100000" sheet="1" selectLockedCells="1"/>
  <mergeCells count="4">
    <mergeCell ref="A1:H1"/>
    <mergeCell ref="G10:H15"/>
    <mergeCell ref="G16:H17"/>
    <mergeCell ref="B26:G26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D20652A3-8E94-4E73-A721-1C1B1C3A1985}"/>
  </dataValidations>
  <hyperlinks>
    <hyperlink ref="H38" r:id="rId1" xr:uid="{627FABFF-DDFB-4BAF-B133-B6FD80E27AD5}"/>
    <hyperlink ref="H37" r:id="rId2" xr:uid="{44AD95D4-E89E-42E2-BC3D-4C606A900199}"/>
    <hyperlink ref="H36" r:id="rId3" xr:uid="{49A923F2-07C4-465E-9220-17BB718681E6}"/>
    <hyperlink ref="H34" r:id="rId4" xr:uid="{CAE27191-B03A-43DB-AEF9-195D3DBF5261}"/>
  </hyperlinks>
  <pageMargins left="0.75" right="0.75" top="1" bottom="1" header="0.5" footer="0.5"/>
  <pageSetup orientation="portrait" r:id="rId5"/>
  <headerFooter alignWithMargins="0"/>
  <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>
    <tabColor rgb="FFC00000"/>
  </sheetPr>
  <dimension ref="A1:HX48"/>
  <sheetViews>
    <sheetView showGridLines="0" showRowColHeaders="0" zoomScaleNormal="100" workbookViewId="0">
      <selection activeCell="F8" sqref="F8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7" width="8.6640625" style="23" customWidth="1"/>
    <col min="8" max="8" width="14.6640625" style="23" customWidth="1"/>
    <col min="9" max="9" width="8.6640625" style="23" customWidth="1"/>
    <col min="10" max="16384" width="9.109375" style="23"/>
  </cols>
  <sheetData>
    <row r="1" spans="1:9" ht="24" customHeight="1" x14ac:dyDescent="0.25">
      <c r="A1" s="530" t="s">
        <v>302</v>
      </c>
      <c r="B1" s="530"/>
      <c r="C1" s="530"/>
      <c r="D1" s="530"/>
      <c r="E1" s="530"/>
      <c r="F1" s="530"/>
      <c r="G1" s="530"/>
      <c r="H1" s="530"/>
      <c r="I1" s="530"/>
    </row>
    <row r="2" spans="1:9" ht="12.75" customHeight="1" x14ac:dyDescent="0.25">
      <c r="A2" s="22"/>
      <c r="B2" s="22"/>
      <c r="C2" s="22"/>
      <c r="D2" s="22"/>
      <c r="E2" s="22"/>
      <c r="G2" s="22"/>
    </row>
    <row r="3" spans="1:9" ht="18" customHeight="1" x14ac:dyDescent="0.3">
      <c r="A3" s="22"/>
      <c r="B3" s="35"/>
      <c r="C3" s="41"/>
      <c r="D3" s="36"/>
      <c r="E3" s="94" t="s">
        <v>86</v>
      </c>
      <c r="F3" s="37">
        <v>200</v>
      </c>
      <c r="G3" s="2"/>
      <c r="I3" s="3"/>
    </row>
    <row r="4" spans="1:9" ht="18" customHeight="1" x14ac:dyDescent="0.3">
      <c r="A4" s="22"/>
      <c r="B4" s="35"/>
      <c r="C4" s="35"/>
      <c r="D4" s="36"/>
      <c r="E4" s="95" t="s">
        <v>13</v>
      </c>
      <c r="F4" s="38">
        <v>0</v>
      </c>
      <c r="G4" s="2"/>
      <c r="I4" s="3"/>
    </row>
    <row r="5" spans="1:9" ht="18" customHeight="1" x14ac:dyDescent="0.3">
      <c r="A5" s="22"/>
      <c r="B5" s="35"/>
      <c r="C5" s="35"/>
      <c r="D5" s="36"/>
      <c r="E5" s="95" t="s">
        <v>85</v>
      </c>
      <c r="F5" s="348">
        <f>F3+F3*F4/100</f>
        <v>200</v>
      </c>
      <c r="G5" s="2"/>
      <c r="I5" s="3"/>
    </row>
    <row r="6" spans="1:9" ht="12.75" customHeight="1" x14ac:dyDescent="0.25">
      <c r="A6" s="22"/>
      <c r="B6" s="9"/>
      <c r="C6" s="22"/>
      <c r="D6" s="22"/>
      <c r="E6" s="22"/>
      <c r="G6" s="22"/>
    </row>
    <row r="7" spans="1:9" ht="18" customHeight="1" thickBot="1" x14ac:dyDescent="0.35">
      <c r="A7" s="7"/>
      <c r="B7" s="100" t="s">
        <v>0</v>
      </c>
      <c r="C7" s="452" t="s">
        <v>295</v>
      </c>
      <c r="D7" s="454" t="s">
        <v>52</v>
      </c>
      <c r="E7" s="453" t="s">
        <v>296</v>
      </c>
      <c r="F7" s="454" t="s">
        <v>219</v>
      </c>
      <c r="G7" s="454" t="s">
        <v>43</v>
      </c>
      <c r="I7" s="1"/>
    </row>
    <row r="8" spans="1:9" ht="18" customHeight="1" thickTop="1" x14ac:dyDescent="0.25">
      <c r="A8" s="22"/>
      <c r="B8" s="103" t="s">
        <v>11</v>
      </c>
      <c r="C8" s="88">
        <v>0.1</v>
      </c>
      <c r="D8" s="89">
        <v>0.2</v>
      </c>
      <c r="E8" s="147">
        <v>0.4</v>
      </c>
      <c r="F8" s="89">
        <v>0.2</v>
      </c>
      <c r="G8" s="89">
        <v>0.1</v>
      </c>
      <c r="H8" s="74">
        <f>SUM(C8:G8)</f>
        <v>1.0000000000000002</v>
      </c>
    </row>
    <row r="9" spans="1:9" ht="18.75" hidden="1" customHeight="1" x14ac:dyDescent="0.25">
      <c r="A9" s="22"/>
      <c r="B9" s="51" t="s">
        <v>66</v>
      </c>
      <c r="C9" s="104">
        <v>0.45</v>
      </c>
      <c r="D9" s="105">
        <v>0.88</v>
      </c>
      <c r="E9" s="105">
        <v>1.1805000000000001</v>
      </c>
      <c r="F9" s="105">
        <v>1.33</v>
      </c>
      <c r="G9" s="105">
        <v>1.77</v>
      </c>
    </row>
    <row r="10" spans="1:9" ht="12.75" customHeight="1" x14ac:dyDescent="0.25">
      <c r="A10" s="22"/>
      <c r="B10" s="50" t="s">
        <v>1</v>
      </c>
      <c r="C10" s="106">
        <f>+($F$5*C8)/C9</f>
        <v>44.444444444444443</v>
      </c>
      <c r="D10" s="107">
        <f>+($F$5*D8)/D9</f>
        <v>45.454545454545453</v>
      </c>
      <c r="E10" s="107">
        <f>+($F$5*E8)/E9</f>
        <v>67.767894959762813</v>
      </c>
      <c r="F10" s="107">
        <f>+($F$5*F8)/F9</f>
        <v>30.075187969924812</v>
      </c>
      <c r="G10" s="107">
        <f>+($F$5*G8)/G9</f>
        <v>11.299435028248588</v>
      </c>
      <c r="H10" s="501" t="s">
        <v>89</v>
      </c>
      <c r="I10" s="501"/>
    </row>
    <row r="11" spans="1:9" ht="12.75" customHeight="1" x14ac:dyDescent="0.25">
      <c r="A11" s="22"/>
      <c r="B11" s="145" t="s">
        <v>67</v>
      </c>
      <c r="C11" s="104">
        <v>180</v>
      </c>
      <c r="D11" s="105">
        <v>104</v>
      </c>
      <c r="E11" s="105">
        <v>78</v>
      </c>
      <c r="F11" s="105">
        <v>52</v>
      </c>
      <c r="G11" s="105">
        <v>39</v>
      </c>
      <c r="H11" s="501"/>
      <c r="I11" s="501"/>
    </row>
    <row r="12" spans="1:9" ht="12.75" customHeight="1" thickBot="1" x14ac:dyDescent="0.3">
      <c r="A12" s="22"/>
      <c r="B12" s="115" t="s">
        <v>83</v>
      </c>
      <c r="C12" s="138">
        <v>12</v>
      </c>
      <c r="D12" s="138">
        <v>13</v>
      </c>
      <c r="E12" s="105">
        <v>13</v>
      </c>
      <c r="F12" s="105">
        <v>13</v>
      </c>
      <c r="G12" s="105">
        <v>13</v>
      </c>
      <c r="H12" s="501"/>
      <c r="I12" s="501"/>
    </row>
    <row r="13" spans="1:9" ht="18.75" hidden="1" customHeight="1" x14ac:dyDescent="0.25">
      <c r="A13" s="22"/>
      <c r="B13" s="116" t="s">
        <v>63</v>
      </c>
      <c r="C13" s="138">
        <v>12</v>
      </c>
      <c r="D13" s="138">
        <v>13</v>
      </c>
      <c r="E13" s="105">
        <v>13</v>
      </c>
      <c r="F13" s="105">
        <v>13</v>
      </c>
      <c r="G13" s="105">
        <v>13</v>
      </c>
      <c r="H13" s="501"/>
      <c r="I13" s="501"/>
    </row>
    <row r="14" spans="1:9" ht="18.75" hidden="1" customHeight="1" thickBot="1" x14ac:dyDescent="0.3">
      <c r="A14" s="22"/>
      <c r="B14" s="116" t="s">
        <v>64</v>
      </c>
      <c r="C14" s="138">
        <v>12</v>
      </c>
      <c r="D14" s="138">
        <v>13</v>
      </c>
      <c r="E14" s="105">
        <v>13</v>
      </c>
      <c r="F14" s="105">
        <v>13</v>
      </c>
      <c r="G14" s="105">
        <v>13</v>
      </c>
      <c r="H14" s="501"/>
      <c r="I14" s="501"/>
    </row>
    <row r="15" spans="1:9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65">
        <f>IF(MOD(G10+G13,G11)&lt;=G13,1+ROUNDDOWN(G10/G11,0),ROUNDDOWN(G10/G11,0))</f>
        <v>0</v>
      </c>
      <c r="H15" s="501"/>
      <c r="I15" s="501"/>
    </row>
    <row r="16" spans="1:9" ht="18" customHeight="1" thickBot="1" x14ac:dyDescent="0.3">
      <c r="A16" s="22"/>
      <c r="B16" s="139" t="s">
        <v>84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4</v>
      </c>
      <c r="E16" s="131">
        <f>IF(ROUNDUP((E10-(E11*E15))/E12,0)&lt;0,0,ROUNDUP((E10-(E11*E15))/E12,0))</f>
        <v>0</v>
      </c>
      <c r="F16" s="131">
        <f>IF(ROUNDUP((F10-(F11*F15))/F12,0)&lt;0,0,ROUNDUP((F10-(F11*F15))/F12,0))</f>
        <v>3</v>
      </c>
      <c r="G16" s="131">
        <f>IF(ROUNDUP((G10-(G11*G15))/G12,0)&lt;0,0,ROUNDUP((G10-(G11*G15))/G12,0))</f>
        <v>1</v>
      </c>
    </row>
    <row r="17" spans="1:232" ht="18" customHeight="1" x14ac:dyDescent="0.25">
      <c r="A17" s="22"/>
      <c r="B17" s="140" t="s">
        <v>65</v>
      </c>
      <c r="C17" s="123">
        <f>(C15*C11)+(ROUNDUP(C16/2,0)*C13)+(ROUNDDOWN(C16/2,0)*C14)</f>
        <v>48</v>
      </c>
      <c r="D17" s="123">
        <f>(D15*D11)+(ROUNDUP(D16/2,0)*D13)+(ROUNDDOWN(D16/2,0)*D14)</f>
        <v>52</v>
      </c>
      <c r="E17" s="132">
        <f>(E15*E11)+(ROUNDUP(E16/2,0)*E13)+(ROUNDDOWN(E16/2,0)*E14)</f>
        <v>78</v>
      </c>
      <c r="F17" s="132">
        <f>(F15*F11)+(ROUNDUP(F16/2,0)*F13)+(ROUNDDOWN(F16/2,0)*F14)</f>
        <v>39</v>
      </c>
      <c r="G17" s="132">
        <f>(G15*G11)+(ROUNDUP(G16/2,0)*G13)+(ROUNDDOWN(G16/2,0)*G14)</f>
        <v>13</v>
      </c>
    </row>
    <row r="18" spans="1:232" ht="12.75" customHeight="1" x14ac:dyDescent="0.25">
      <c r="A18" s="22"/>
      <c r="B18" s="144" t="s">
        <v>70</v>
      </c>
      <c r="C18" s="25">
        <f>C11*C19</f>
        <v>2737.8</v>
      </c>
      <c r="D18" s="25">
        <f>D11*D19</f>
        <v>3462.16</v>
      </c>
      <c r="E18" s="25">
        <f>E11*E19</f>
        <v>3198.7799999999997</v>
      </c>
      <c r="F18" s="25">
        <f>F11*F19</f>
        <v>3118.96</v>
      </c>
      <c r="G18" s="25">
        <f>G11*G19</f>
        <v>3164.46</v>
      </c>
    </row>
    <row r="19" spans="1:232" ht="12.75" customHeight="1" x14ac:dyDescent="0.25">
      <c r="A19" s="22"/>
      <c r="B19" s="266" t="s">
        <v>69</v>
      </c>
      <c r="C19" s="32">
        <v>15.21</v>
      </c>
      <c r="D19" s="32">
        <v>33.29</v>
      </c>
      <c r="E19" s="32">
        <v>41.01</v>
      </c>
      <c r="F19" s="32">
        <v>59.98</v>
      </c>
      <c r="G19" s="32">
        <v>81.14</v>
      </c>
    </row>
    <row r="20" spans="1:232" ht="12.75" hidden="1" customHeight="1" x14ac:dyDescent="0.25">
      <c r="A20" s="22"/>
      <c r="B20" s="24" t="s">
        <v>71</v>
      </c>
      <c r="C20" s="25">
        <f>+C17*C9</f>
        <v>21.6</v>
      </c>
      <c r="D20" s="25">
        <f>+D17*D9</f>
        <v>45.76</v>
      </c>
      <c r="E20" s="25">
        <f>+E17*E9</f>
        <v>92.079000000000008</v>
      </c>
      <c r="F20" s="25">
        <f>+F17*F9</f>
        <v>51.870000000000005</v>
      </c>
      <c r="G20" s="25">
        <f>+G17*G9</f>
        <v>23.01</v>
      </c>
    </row>
    <row r="21" spans="1:232" ht="12.75" customHeight="1" x14ac:dyDescent="0.25">
      <c r="A21" s="22"/>
      <c r="B21" s="24"/>
      <c r="C21" s="25"/>
      <c r="D21" s="25"/>
      <c r="E21" s="25"/>
      <c r="F21" s="25"/>
      <c r="G21" s="25"/>
    </row>
    <row r="22" spans="1:232" ht="12.75" customHeight="1" x14ac:dyDescent="0.25">
      <c r="A22" s="22"/>
      <c r="B22" s="86" t="s">
        <v>88</v>
      </c>
      <c r="C22" s="25"/>
      <c r="D22" s="25"/>
      <c r="E22" s="25"/>
      <c r="F22" s="25"/>
      <c r="G22" s="25"/>
    </row>
    <row r="23" spans="1:232" ht="12.75" customHeight="1" x14ac:dyDescent="0.25">
      <c r="A23" s="22"/>
      <c r="B23" s="87" t="s">
        <v>49</v>
      </c>
      <c r="C23" s="22"/>
      <c r="D23" s="22"/>
      <c r="E23" s="22"/>
      <c r="F23" s="22"/>
      <c r="G23" s="22"/>
      <c r="H23" s="22"/>
    </row>
    <row r="24" spans="1:232" ht="18" customHeight="1" x14ac:dyDescent="0.25">
      <c r="A24" s="44"/>
      <c r="B24" s="44"/>
      <c r="C24" s="267" t="s">
        <v>92</v>
      </c>
      <c r="D24" s="234">
        <f>SUM(C20:G20)</f>
        <v>234.31900000000002</v>
      </c>
      <c r="E24" s="244" t="s">
        <v>103</v>
      </c>
      <c r="F24" s="45"/>
      <c r="G24" s="44"/>
      <c r="H24" s="44"/>
      <c r="I24" s="46"/>
      <c r="L24" s="22"/>
    </row>
    <row r="25" spans="1:232" ht="18" customHeight="1" x14ac:dyDescent="0.25">
      <c r="A25" s="39"/>
      <c r="B25" s="39"/>
      <c r="C25" s="69" t="s">
        <v>94</v>
      </c>
      <c r="D25" s="70">
        <f>ROUND(+D24/30,0)</f>
        <v>8</v>
      </c>
      <c r="E25" s="245" t="s">
        <v>4</v>
      </c>
      <c r="F25" s="40"/>
      <c r="G25" s="39"/>
      <c r="H25" s="39"/>
      <c r="I25" s="35"/>
    </row>
    <row r="26" spans="1:232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498"/>
      <c r="I26" s="35"/>
    </row>
    <row r="27" spans="1:232" ht="18" customHeight="1" x14ac:dyDescent="0.25">
      <c r="A27" s="44"/>
      <c r="B27" s="44"/>
      <c r="C27" s="243" t="s">
        <v>95</v>
      </c>
      <c r="D27" s="234">
        <f>SUM(C17*C19+D17*D19+E17*E19+F17*F19+G17*G19)</f>
        <v>9053.98</v>
      </c>
      <c r="E27" s="244" t="s">
        <v>3</v>
      </c>
      <c r="F27" s="45"/>
      <c r="G27" s="44"/>
      <c r="H27" s="44"/>
      <c r="I27" s="46"/>
    </row>
    <row r="28" spans="1:232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</row>
    <row r="29" spans="1:232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</row>
    <row r="30" spans="1:23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</row>
    <row r="31" spans="1:232" s="17" customFormat="1" ht="17.399999999999999" x14ac:dyDescent="0.25">
      <c r="A31" s="23"/>
      <c r="B31" s="23"/>
      <c r="C31" s="23"/>
      <c r="D31" s="23"/>
      <c r="E31" s="23"/>
      <c r="F31" s="23"/>
      <c r="G31" s="23"/>
      <c r="H31" s="23"/>
      <c r="I31" s="223" t="s">
        <v>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</row>
    <row r="32" spans="1:232" s="17" customFormat="1" x14ac:dyDescent="0.25">
      <c r="A32" s="23"/>
      <c r="B32" s="23"/>
      <c r="C32" s="23"/>
      <c r="D32" s="23"/>
      <c r="E32" s="23"/>
      <c r="F32" s="23"/>
      <c r="G32" s="23"/>
      <c r="H32" s="23"/>
      <c r="I32" s="1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</row>
    <row r="33" spans="1:232" s="17" customFormat="1" x14ac:dyDescent="0.25">
      <c r="A33" s="23"/>
      <c r="B33" s="23"/>
      <c r="C33" s="23"/>
      <c r="D33" s="23"/>
      <c r="E33" s="23"/>
      <c r="F33" s="23"/>
      <c r="G33" s="23"/>
      <c r="H33" s="23"/>
      <c r="I33" s="224" t="s">
        <v>55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</row>
    <row r="34" spans="1:232" s="17" customFormat="1" x14ac:dyDescent="0.25">
      <c r="A34" s="23"/>
      <c r="B34" s="23"/>
      <c r="C34" s="23"/>
      <c r="D34" s="23"/>
      <c r="E34" s="23"/>
      <c r="F34" s="23"/>
      <c r="G34" s="23"/>
      <c r="H34" s="23"/>
      <c r="I34" s="199" t="s">
        <v>54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</row>
    <row r="35" spans="1:232" s="17" customFormat="1" x14ac:dyDescent="0.25">
      <c r="A35" s="23"/>
      <c r="B35" s="23"/>
      <c r="C35" s="23"/>
      <c r="D35" s="23"/>
      <c r="E35" s="23"/>
      <c r="F35" s="23"/>
      <c r="G35" s="23"/>
      <c r="H35" s="23"/>
      <c r="I35" s="246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</row>
    <row r="36" spans="1:232" s="17" customFormat="1" x14ac:dyDescent="0.25">
      <c r="A36" s="23"/>
      <c r="B36" s="23"/>
      <c r="C36" s="23"/>
      <c r="D36" s="23"/>
      <c r="E36" s="23"/>
      <c r="F36" s="23"/>
      <c r="G36" s="23"/>
      <c r="H36" s="23"/>
      <c r="I36" s="199" t="s">
        <v>6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</row>
    <row r="37" spans="1:232" s="17" customFormat="1" x14ac:dyDescent="0.25">
      <c r="A37" s="23"/>
      <c r="B37" s="23"/>
      <c r="C37" s="23"/>
      <c r="D37" s="23"/>
      <c r="E37" s="23"/>
      <c r="F37" s="23"/>
      <c r="G37" s="23"/>
      <c r="H37" s="23"/>
      <c r="I37" s="199" t="s">
        <v>58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</row>
    <row r="38" spans="1:232" s="17" customFormat="1" x14ac:dyDescent="0.25">
      <c r="A38" s="23"/>
      <c r="B38" s="23"/>
      <c r="C38" s="23"/>
      <c r="D38" s="23"/>
      <c r="E38" s="23"/>
      <c r="F38" s="23"/>
      <c r="G38" s="23"/>
      <c r="H38" s="23"/>
      <c r="I38" s="199" t="s">
        <v>10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</row>
    <row r="39" spans="1:232" s="17" customFormat="1" x14ac:dyDescent="0.25">
      <c r="A39" s="23"/>
      <c r="B39" s="23"/>
      <c r="C39" s="23"/>
      <c r="D39" s="23"/>
      <c r="E39" s="23"/>
      <c r="F39" s="23"/>
      <c r="G39" s="23"/>
      <c r="H39" s="23"/>
      <c r="I39" s="225" t="s">
        <v>7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</row>
    <row r="40" spans="1:232" s="17" customForma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</row>
    <row r="41" spans="1:232" s="17" customForma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</row>
    <row r="42" spans="1:232" s="17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</row>
    <row r="43" spans="1:232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</row>
    <row r="44" spans="1:232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</row>
    <row r="45" spans="1:232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</row>
    <row r="46" spans="1:232" ht="21" customHeight="1" x14ac:dyDescent="0.3">
      <c r="B46" s="15" t="s">
        <v>16</v>
      </c>
      <c r="C46" s="114"/>
      <c r="D46" s="114"/>
      <c r="E46" s="114"/>
      <c r="F46" s="114"/>
      <c r="G46" s="114"/>
      <c r="H46" s="114"/>
      <c r="I46" s="114"/>
    </row>
    <row r="47" spans="1:232" ht="21" customHeight="1" x14ac:dyDescent="0.25">
      <c r="B47" s="13"/>
      <c r="C47" s="112"/>
      <c r="D47" s="112"/>
      <c r="E47" s="112"/>
      <c r="F47" s="112"/>
      <c r="G47" s="112"/>
      <c r="H47" s="112"/>
      <c r="I47" s="112"/>
    </row>
    <row r="48" spans="1:232" ht="21" customHeight="1" x14ac:dyDescent="0.25">
      <c r="B48" s="11"/>
      <c r="C48" s="112"/>
      <c r="D48" s="112"/>
      <c r="E48" s="112"/>
      <c r="F48" s="112"/>
      <c r="G48" s="112"/>
      <c r="H48" s="112"/>
      <c r="I48" s="112"/>
    </row>
  </sheetData>
  <sheetProtection algorithmName="SHA-512" hashValue="vlMDL9mQ9Sxl0Z1UTo+Kjpt95XB9lPNqjLbcKcro5soSvtEmqj4PYOYLm6KhXR1QbkxDcIJfQrIyzDrWS/ldsw==" saltValue="3voAT9fjuBA1SQBfPX3wgw==" spinCount="100000" sheet="1" selectLockedCells="1"/>
  <mergeCells count="3">
    <mergeCell ref="A1:I1"/>
    <mergeCell ref="H10:I15"/>
    <mergeCell ref="B26:H26"/>
  </mergeCells>
  <phoneticPr fontId="0" type="noConversion"/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F4" xr:uid="{00000000-0002-0000-1000-000000000000}">
      <formula1>5</formula1>
      <formula2>100</formula2>
    </dataValidation>
  </dataValidations>
  <hyperlinks>
    <hyperlink ref="I38" r:id="rId1" xr:uid="{00000000-0004-0000-1000-000000000000}"/>
    <hyperlink ref="I37" r:id="rId2" xr:uid="{00000000-0004-0000-1000-000001000000}"/>
    <hyperlink ref="I36" r:id="rId3" xr:uid="{00000000-0004-0000-1000-000002000000}"/>
    <hyperlink ref="I34" r:id="rId4" xr:uid="{00000000-0004-0000-10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rgb="FFC00000"/>
  </sheetPr>
  <dimension ref="A1:R48"/>
  <sheetViews>
    <sheetView showGridLines="0" showRowColHeaders="0" zoomScaleNormal="100" workbookViewId="0">
      <selection activeCell="C46" sqref="C4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206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455" t="s">
        <v>295</v>
      </c>
      <c r="D7" s="227" t="s">
        <v>52</v>
      </c>
      <c r="E7" s="456" t="s">
        <v>296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0.56999999999999995</v>
      </c>
      <c r="D9" s="230">
        <v>0.88</v>
      </c>
      <c r="E9" s="206">
        <v>1.1805000000000001</v>
      </c>
      <c r="F9" s="203"/>
    </row>
    <row r="10" spans="1:8" ht="12.75" customHeight="1" x14ac:dyDescent="0.25">
      <c r="B10" s="207" t="s">
        <v>1</v>
      </c>
      <c r="C10" s="208">
        <f>+(E5*C8)/C9</f>
        <v>70.175438596491233</v>
      </c>
      <c r="D10" s="231">
        <f>+(E5*D8)/D9</f>
        <v>113.63636363636364</v>
      </c>
      <c r="E10" s="208">
        <f>+(E5*E8)/E9</f>
        <v>50.825921219822106</v>
      </c>
      <c r="F10" s="203"/>
      <c r="G10" s="501" t="s">
        <v>207</v>
      </c>
      <c r="H10" s="501"/>
    </row>
    <row r="11" spans="1:8" ht="12.75" customHeight="1" x14ac:dyDescent="0.25">
      <c r="B11" s="209" t="s">
        <v>67</v>
      </c>
      <c r="C11" s="206">
        <v>180</v>
      </c>
      <c r="D11" s="230">
        <v>104</v>
      </c>
      <c r="E11" s="206">
        <v>78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13</v>
      </c>
      <c r="D12" s="138">
        <v>13</v>
      </c>
      <c r="E12" s="105">
        <v>13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13</v>
      </c>
      <c r="D13" s="138">
        <v>13</v>
      </c>
      <c r="E13" s="105">
        <v>13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138">
        <v>13</v>
      </c>
      <c r="D14" s="138">
        <v>13</v>
      </c>
      <c r="E14" s="105">
        <v>13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0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4</v>
      </c>
      <c r="F16" s="528" t="s">
        <v>310</v>
      </c>
      <c r="G16" s="528"/>
      <c r="H16" s="528"/>
    </row>
    <row r="17" spans="1:18" ht="18" customHeight="1" x14ac:dyDescent="0.25">
      <c r="B17" s="140" t="s">
        <v>65</v>
      </c>
      <c r="C17" s="123">
        <f>(C15*C11)+(ROUNDUP(C16/2,0)*C13)+(ROUNDDOWN(C16/2,0)*C14)</f>
        <v>78</v>
      </c>
      <c r="D17" s="123">
        <f>(D15*D11)+(ROUNDUP(D16/2,0)*D13)+(ROUNDDOWN(D16/2,0)*D14)</f>
        <v>117</v>
      </c>
      <c r="E17" s="123">
        <f>(E15*E11)+(ROUNDUP(E16/2,0)*E13)+(ROUNDDOWN(E16/2,0)*E14)</f>
        <v>52</v>
      </c>
      <c r="F17" s="232"/>
    </row>
    <row r="18" spans="1:18" ht="12.75" customHeight="1" x14ac:dyDescent="0.25">
      <c r="B18" s="143" t="s">
        <v>70</v>
      </c>
      <c r="C18" s="78">
        <f>C11*C19</f>
        <v>3691.1699999999996</v>
      </c>
      <c r="D18" s="78">
        <f>D11*D19</f>
        <v>3462.16</v>
      </c>
      <c r="E18" s="78">
        <f>E11*E19</f>
        <v>3371.16</v>
      </c>
    </row>
    <row r="19" spans="1:18" ht="12.75" customHeight="1" x14ac:dyDescent="0.25">
      <c r="B19" s="217" t="s">
        <v>69</v>
      </c>
      <c r="C19" s="236">
        <v>20.506499999999999</v>
      </c>
      <c r="D19" s="236">
        <v>33.29</v>
      </c>
      <c r="E19" s="236">
        <v>43.22</v>
      </c>
    </row>
    <row r="20" spans="1:18" ht="12.75" hidden="1" customHeight="1" x14ac:dyDescent="0.25">
      <c r="B20" s="219" t="s">
        <v>71</v>
      </c>
      <c r="C20" s="78">
        <f>+C17*C9</f>
        <v>44.459999999999994</v>
      </c>
      <c r="D20" s="78">
        <f>+D17*D9</f>
        <v>102.96</v>
      </c>
      <c r="E20" s="78">
        <f>+E17*E9</f>
        <v>61.386000000000003</v>
      </c>
    </row>
    <row r="21" spans="1:18" ht="12.75" customHeight="1" x14ac:dyDescent="0.25">
      <c r="B21" s="219"/>
      <c r="C21" s="78"/>
      <c r="D21" s="78"/>
      <c r="E21" s="78"/>
    </row>
    <row r="22" spans="1:18" ht="12.75" customHeight="1" x14ac:dyDescent="0.25">
      <c r="B22" s="86" t="s">
        <v>88</v>
      </c>
      <c r="C22" s="78"/>
      <c r="D22" s="78"/>
      <c r="E22" s="78"/>
    </row>
    <row r="23" spans="1:18" ht="12.75" customHeight="1" x14ac:dyDescent="0.25">
      <c r="B23" s="87" t="s">
        <v>49</v>
      </c>
    </row>
    <row r="24" spans="1:18" ht="18" customHeight="1" x14ac:dyDescent="0.25">
      <c r="A24" s="46"/>
      <c r="B24" s="237"/>
      <c r="C24" s="233" t="s">
        <v>92</v>
      </c>
      <c r="D24" s="234">
        <f>SUM(C20:E20)</f>
        <v>208.80599999999998</v>
      </c>
      <c r="E24" s="235" t="s">
        <v>50</v>
      </c>
      <c r="F24" s="237"/>
      <c r="G24" s="237"/>
      <c r="H24" s="46"/>
    </row>
    <row r="25" spans="1:18" ht="18" customHeight="1" x14ac:dyDescent="0.25">
      <c r="A25" s="35"/>
      <c r="B25" s="151"/>
      <c r="C25" s="220" t="s">
        <v>12</v>
      </c>
      <c r="D25" s="70">
        <f>ROUND(+D24/35,0)</f>
        <v>6</v>
      </c>
      <c r="E25" s="222" t="s">
        <v>4</v>
      </c>
      <c r="F25" s="151"/>
      <c r="G25" s="151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6"/>
      <c r="B27" s="237"/>
      <c r="C27" s="233" t="s">
        <v>95</v>
      </c>
      <c r="D27" s="234">
        <f>SUM(C17*C19+D17*D19+E17*E19)</f>
        <v>7741.8770000000004</v>
      </c>
      <c r="E27" s="235" t="s">
        <v>3</v>
      </c>
      <c r="F27" s="237"/>
      <c r="G27" s="237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105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/>
      <c r="F40"/>
      <c r="G40"/>
      <c r="H40"/>
      <c r="I40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/>
      <c r="F41"/>
      <c r="G41"/>
      <c r="H41"/>
      <c r="I41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/>
      <c r="F42"/>
      <c r="G42"/>
      <c r="H42"/>
      <c r="I42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ht="12.75" customHeight="1" x14ac:dyDescent="0.25"/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/nIfT69lAWwopdq3+hEvm5zkRRfsaMItQCa2kPSR3Sd2652AXVIIr8FTraHUh1j3AzhSE4SCj8C3rZBx/Lor4g==" saltValue="P/5fKRhJresV8JnM2wpFow==" spinCount="100000" sheet="1" selectLockedCells="1"/>
  <mergeCells count="4">
    <mergeCell ref="A1:H1"/>
    <mergeCell ref="G10:H15"/>
    <mergeCell ref="B26:G26"/>
    <mergeCell ref="F16:H16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800-000000000000}"/>
  </dataValidations>
  <hyperlinks>
    <hyperlink ref="Q24" r:id="rId1" display="Mason's Instructions - English" xr:uid="{00000000-0004-0000-1800-000000000000}"/>
    <hyperlink ref="Q25" r:id="rId2" display="Mason's Instructions - French" xr:uid="{00000000-0004-0000-1800-000001000000}"/>
    <hyperlink ref="H38" r:id="rId3" xr:uid="{00000000-0004-0000-1800-000002000000}"/>
    <hyperlink ref="H37" r:id="rId4" xr:uid="{00000000-0004-0000-1800-000003000000}"/>
    <hyperlink ref="H36" r:id="rId5" xr:uid="{00000000-0004-0000-1800-000004000000}"/>
    <hyperlink ref="H34" r:id="rId6" xr:uid="{00000000-0004-0000-1800-000005000000}"/>
    <hyperlink ref="H35" r:id="rId7" display="Mason's Instructions - French" xr:uid="{00000000-0004-0000-1800-000006000000}"/>
  </hyperlinks>
  <pageMargins left="0.75" right="0.75" top="1" bottom="1" header="0.5" footer="0.5"/>
  <pageSetup orientation="portrait" r:id="rId8"/>
  <headerFooter alignWithMargins="0"/>
  <drawing r:id="rId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>
    <tabColor rgb="FFC00000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267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455" t="s">
        <v>295</v>
      </c>
      <c r="D7" s="227" t="s">
        <v>52</v>
      </c>
      <c r="E7" s="456" t="s">
        <v>296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0.22</v>
      </c>
      <c r="D8" s="154">
        <v>0.33</v>
      </c>
      <c r="E8" s="153">
        <v>0.45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0.56999999999999995</v>
      </c>
      <c r="D9" s="230">
        <v>0.88</v>
      </c>
      <c r="E9" s="206">
        <v>1.1805000000000001</v>
      </c>
      <c r="F9" s="203"/>
    </row>
    <row r="10" spans="1:8" ht="12.75" customHeight="1" x14ac:dyDescent="0.25">
      <c r="B10" s="207" t="s">
        <v>1</v>
      </c>
      <c r="C10" s="208">
        <f>+(E5*C8)/C9</f>
        <v>77.192982456140356</v>
      </c>
      <c r="D10" s="231">
        <f>+(E5*D8)/D9</f>
        <v>75</v>
      </c>
      <c r="E10" s="208">
        <f>+(E5*E8)/E9</f>
        <v>76.23888182973316</v>
      </c>
      <c r="F10" s="203"/>
      <c r="G10" s="501" t="s">
        <v>207</v>
      </c>
      <c r="H10" s="501"/>
    </row>
    <row r="11" spans="1:8" ht="12.75" customHeight="1" x14ac:dyDescent="0.25">
      <c r="B11" s="209" t="s">
        <v>67</v>
      </c>
      <c r="C11" s="206">
        <v>180</v>
      </c>
      <c r="D11" s="230">
        <v>104</v>
      </c>
      <c r="E11" s="206">
        <v>78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13</v>
      </c>
      <c r="D12" s="138">
        <v>13</v>
      </c>
      <c r="E12" s="105">
        <v>13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13</v>
      </c>
      <c r="D13" s="138">
        <v>13</v>
      </c>
      <c r="E13" s="105">
        <v>13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138">
        <v>13</v>
      </c>
      <c r="D14" s="138">
        <v>13</v>
      </c>
      <c r="E14" s="105">
        <v>13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6</v>
      </c>
      <c r="E16" s="119">
        <f>IF(ROUNDUP((E10-(E11*E15))/E12,0)&lt;0,0,ROUNDUP((E10-(E11*E15))/E12,0))</f>
        <v>0</v>
      </c>
      <c r="F16" s="528" t="s">
        <v>310</v>
      </c>
      <c r="G16" s="528"/>
      <c r="H16" s="528"/>
    </row>
    <row r="17" spans="1:18" ht="18" customHeight="1" x14ac:dyDescent="0.25">
      <c r="B17" s="140" t="s">
        <v>65</v>
      </c>
      <c r="C17" s="123">
        <f>(C15*C11)+(ROUNDUP(C16/2,0)*C13)+(ROUNDDOWN(C16/2,0)*C14)</f>
        <v>78</v>
      </c>
      <c r="D17" s="123">
        <f>(D15*D11)+(ROUNDUP(D16/2,0)*D13)+(ROUNDDOWN(D16/2,0)*D14)</f>
        <v>78</v>
      </c>
      <c r="E17" s="123">
        <f>(E15*E11)+(ROUNDUP(E16/2,0)*E13)+(ROUNDDOWN(E16/2,0)*E14)</f>
        <v>78</v>
      </c>
      <c r="F17" s="232"/>
    </row>
    <row r="18" spans="1:18" ht="12.75" customHeight="1" x14ac:dyDescent="0.25">
      <c r="B18" s="143" t="s">
        <v>70</v>
      </c>
      <c r="C18" s="78">
        <f>C11*C19</f>
        <v>2917.8</v>
      </c>
      <c r="D18" s="78">
        <f>D11*D19</f>
        <v>3462.16</v>
      </c>
      <c r="E18" s="78">
        <f>E11*E19</f>
        <v>3285.3599999999997</v>
      </c>
    </row>
    <row r="19" spans="1:18" ht="12.75" customHeight="1" x14ac:dyDescent="0.25">
      <c r="B19" s="217" t="s">
        <v>69</v>
      </c>
      <c r="C19" s="218">
        <v>16.21</v>
      </c>
      <c r="D19" s="218">
        <v>33.29</v>
      </c>
      <c r="E19" s="218">
        <v>42.12</v>
      </c>
    </row>
    <row r="20" spans="1:18" ht="12.75" hidden="1" customHeight="1" x14ac:dyDescent="0.25">
      <c r="B20" s="219" t="s">
        <v>71</v>
      </c>
      <c r="C20" s="78">
        <f>+C17*C9</f>
        <v>44.459999999999994</v>
      </c>
      <c r="D20" s="78">
        <f>+D17*D9</f>
        <v>68.64</v>
      </c>
      <c r="E20" s="78">
        <f>+E17*E9</f>
        <v>92.079000000000008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6"/>
      <c r="B24" s="46"/>
      <c r="C24" s="233" t="s">
        <v>92</v>
      </c>
      <c r="D24" s="234">
        <f>SUM(C20:E20)</f>
        <v>205.179</v>
      </c>
      <c r="E24" s="235" t="s">
        <v>50</v>
      </c>
      <c r="F24" s="46"/>
      <c r="G24" s="46"/>
      <c r="H24" s="46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6"/>
      <c r="B27" s="46"/>
      <c r="C27" s="233" t="s">
        <v>95</v>
      </c>
      <c r="D27" s="234">
        <f>SUM(C17*C19+D17*D19+E17*E19)</f>
        <v>7146.36</v>
      </c>
      <c r="E27" s="235" t="s">
        <v>3</v>
      </c>
      <c r="F27" s="46"/>
      <c r="G27" s="46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105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Su41OcNLyqk6pJowrM5nV6gRnoyzAvHA3C8Y91nOUT2p69Nmm2DnrXa6MSUjKJnhVbD0SrWvzFLxIQtKVLSd/g==" saltValue="ScXfbOzZWjBgbrtt1M6T1w==" spinCount="100000" sheet="1" selectLockedCells="1"/>
  <mergeCells count="4">
    <mergeCell ref="A1:H1"/>
    <mergeCell ref="G10:H15"/>
    <mergeCell ref="B26:G26"/>
    <mergeCell ref="F16:H16"/>
  </mergeCells>
  <dataValidations disablePrompts="1" xWindow="532" yWindow="209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900-000000000000}"/>
  </dataValidations>
  <hyperlinks>
    <hyperlink ref="H35" r:id="rId1" xr:uid="{00000000-0004-0000-1900-000000000000}"/>
    <hyperlink ref="H34" r:id="rId2" xr:uid="{00000000-0004-0000-1900-000001000000}"/>
    <hyperlink ref="H38" r:id="rId3" xr:uid="{00000000-0004-0000-1900-000002000000}"/>
    <hyperlink ref="H37" r:id="rId4" xr:uid="{00000000-0004-0000-1900-000003000000}"/>
    <hyperlink ref="H36" r:id="rId5" xr:uid="{00000000-0004-0000-1900-000004000000}"/>
  </hyperlinks>
  <pageMargins left="0.75" right="0.75" top="1" bottom="1" header="0.5" footer="0.5"/>
  <pageSetup orientation="portrait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tabColor theme="8"/>
  </sheetPr>
  <dimension ref="A1:NB51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6" t="s">
        <v>163</v>
      </c>
      <c r="B1" s="496"/>
      <c r="C1" s="496"/>
      <c r="D1" s="496"/>
      <c r="E1" s="496"/>
      <c r="F1" s="496"/>
      <c r="G1" s="496"/>
      <c r="H1" s="496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8">
        <v>200</v>
      </c>
      <c r="F3" s="2"/>
      <c r="G3" s="2"/>
    </row>
    <row r="4" spans="1:8" ht="18" customHeight="1" x14ac:dyDescent="0.3">
      <c r="A4" s="22"/>
      <c r="B4" s="35"/>
      <c r="C4" s="36"/>
      <c r="D4" s="95" t="s">
        <v>13</v>
      </c>
      <c r="E4" s="99">
        <v>0</v>
      </c>
      <c r="F4" s="2"/>
      <c r="G4" s="2"/>
    </row>
    <row r="5" spans="1:8" ht="18" customHeight="1" x14ac:dyDescent="0.3">
      <c r="A5" s="22"/>
      <c r="B5" s="35"/>
      <c r="C5" s="36"/>
      <c r="D5" s="95" t="s">
        <v>85</v>
      </c>
      <c r="E5" s="345">
        <f>E3+E3*E4/100</f>
        <v>200</v>
      </c>
      <c r="F5" s="2"/>
      <c r="G5" s="2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23</v>
      </c>
      <c r="D7" s="102" t="s">
        <v>25</v>
      </c>
      <c r="E7" s="102" t="s">
        <v>26</v>
      </c>
      <c r="G7" s="4"/>
    </row>
    <row r="8" spans="1:8" ht="18" customHeight="1" thickTop="1" x14ac:dyDescent="0.3">
      <c r="A8" s="22"/>
      <c r="B8" s="103" t="s">
        <v>11</v>
      </c>
      <c r="C8" s="88">
        <v>0.25</v>
      </c>
      <c r="D8" s="89">
        <v>0.5</v>
      </c>
      <c r="E8" s="89">
        <v>0.25</v>
      </c>
      <c r="F8" s="74">
        <f>SUM(A8:E8)</f>
        <v>1</v>
      </c>
      <c r="G8" s="4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0.96</v>
      </c>
      <c r="E9" s="105">
        <v>1.45</v>
      </c>
      <c r="G9" s="22"/>
    </row>
    <row r="10" spans="1:8" ht="12.75" customHeight="1" x14ac:dyDescent="0.25">
      <c r="A10" s="22"/>
      <c r="B10" s="50" t="s">
        <v>1</v>
      </c>
      <c r="C10" s="106">
        <f>+(E5*C8)/C9</f>
        <v>104.16666666666667</v>
      </c>
      <c r="D10" s="107">
        <f>+(E5*D8)/D9</f>
        <v>104.16666666666667</v>
      </c>
      <c r="E10" s="107">
        <f>+(E5*E8)/E9</f>
        <v>34.482758620689658</v>
      </c>
      <c r="F10" s="82"/>
      <c r="G10" s="501" t="s">
        <v>89</v>
      </c>
      <c r="H10" s="501"/>
    </row>
    <row r="11" spans="1:8" ht="12.75" customHeight="1" x14ac:dyDescent="0.25">
      <c r="A11" s="22"/>
      <c r="B11" s="51" t="s">
        <v>67</v>
      </c>
      <c r="C11" s="104">
        <v>156</v>
      </c>
      <c r="D11" s="105">
        <v>63</v>
      </c>
      <c r="E11" s="105">
        <v>40</v>
      </c>
      <c r="F11" s="82"/>
      <c r="G11" s="501"/>
      <c r="H11" s="501"/>
    </row>
    <row r="12" spans="1:8" ht="12.75" customHeight="1" thickBot="1" x14ac:dyDescent="0.3">
      <c r="A12" s="22"/>
      <c r="B12" s="51" t="s">
        <v>83</v>
      </c>
      <c r="C12" s="60">
        <v>12</v>
      </c>
      <c r="D12" s="61">
        <v>10.5</v>
      </c>
      <c r="E12" s="61">
        <v>10</v>
      </c>
      <c r="F12" s="82"/>
      <c r="G12" s="501"/>
      <c r="H12" s="501"/>
    </row>
    <row r="13" spans="1:8" ht="18.75" hidden="1" customHeight="1" x14ac:dyDescent="0.25">
      <c r="A13" s="22"/>
      <c r="B13" s="50" t="s">
        <v>63</v>
      </c>
      <c r="C13" s="62">
        <v>12</v>
      </c>
      <c r="D13" s="63">
        <v>11</v>
      </c>
      <c r="E13" s="63">
        <v>10</v>
      </c>
      <c r="G13" s="501"/>
      <c r="H13" s="501"/>
    </row>
    <row r="14" spans="1:8" ht="18.75" hidden="1" customHeight="1" thickBot="1" x14ac:dyDescent="0.3">
      <c r="A14" s="22"/>
      <c r="B14" s="92" t="s">
        <v>64</v>
      </c>
      <c r="C14" s="90">
        <v>12</v>
      </c>
      <c r="D14" s="91">
        <v>10</v>
      </c>
      <c r="E14" s="91">
        <v>10</v>
      </c>
      <c r="G14" s="501"/>
      <c r="H14" s="501"/>
    </row>
    <row r="15" spans="1:8" ht="18" customHeight="1" thickBot="1" x14ac:dyDescent="0.3">
      <c r="A15" s="22"/>
      <c r="B15" s="52" t="s">
        <v>68</v>
      </c>
      <c r="C15" s="64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G15" s="501"/>
      <c r="H15" s="501"/>
    </row>
    <row r="16" spans="1:8" ht="18" customHeight="1" thickBot="1" x14ac:dyDescent="0.3">
      <c r="A16" s="22"/>
      <c r="B16" s="52" t="s">
        <v>84</v>
      </c>
      <c r="C16" s="64">
        <f>IF(ROUNDUP((C10-(C11*C15))/C12,0)&lt;0,0,ROUNDUP((C10-(C11*C15))/C12,0))</f>
        <v>9</v>
      </c>
      <c r="D16" s="65">
        <f>IF(ROUNDUP((D10-(D11*D15))/D12,0)&lt;0,0,ROUNDUP((D10-(D11*D15))/D12,0))</f>
        <v>4</v>
      </c>
      <c r="E16" s="65">
        <f>IF(ROUNDUP((E10-(E11*E15))/E12,0)&lt;0,0,ROUNDUP((E10-(E11*E15))/E12,0))</f>
        <v>0</v>
      </c>
      <c r="G16" s="22"/>
    </row>
    <row r="17" spans="1:366" ht="18" customHeight="1" x14ac:dyDescent="0.25">
      <c r="A17" s="22"/>
      <c r="B17" s="53" t="s">
        <v>65</v>
      </c>
      <c r="C17" s="66">
        <f>(C15*C11)+(ROUNDUP(C16/2,0)*C13)+(ROUNDDOWN(C16/2,0)*C14)</f>
        <v>108</v>
      </c>
      <c r="D17" s="67">
        <f>(D15*D11)+(ROUNDUP(D16/2,0)*D13)+(ROUNDDOWN(D16/2,0)*D14)</f>
        <v>105</v>
      </c>
      <c r="E17" s="67">
        <f>(E15*E11)+(ROUNDUP(E16/2,0)*E13)+(ROUNDDOWN(E16/2,0)*E14)</f>
        <v>40</v>
      </c>
      <c r="G17" s="22"/>
    </row>
    <row r="18" spans="1:366" ht="12.75" customHeight="1" x14ac:dyDescent="0.25">
      <c r="A18" s="22"/>
      <c r="B18" s="144" t="s">
        <v>70</v>
      </c>
      <c r="C18" s="25">
        <f>C11*C19</f>
        <v>2642.6400000000003</v>
      </c>
      <c r="D18" s="25">
        <f>D11*D19</f>
        <v>2576.6999999999998</v>
      </c>
      <c r="E18" s="25">
        <f>E11*E19</f>
        <v>2396</v>
      </c>
      <c r="G18" s="22"/>
    </row>
    <row r="19" spans="1:366" ht="12.75" customHeight="1" x14ac:dyDescent="0.25">
      <c r="A19" s="22"/>
      <c r="B19" s="144" t="s">
        <v>69</v>
      </c>
      <c r="C19" s="33">
        <v>16.940000000000001</v>
      </c>
      <c r="D19" s="26">
        <v>40.9</v>
      </c>
      <c r="E19" s="26">
        <v>59.9</v>
      </c>
      <c r="G19" s="22"/>
    </row>
    <row r="20" spans="1:366" ht="18" hidden="1" customHeight="1" x14ac:dyDescent="0.25">
      <c r="A20" s="22"/>
      <c r="B20" s="24" t="s">
        <v>71</v>
      </c>
      <c r="C20" s="25">
        <f>+C17*C9</f>
        <v>51.839999999999996</v>
      </c>
      <c r="D20" s="25">
        <f>+D17*D9</f>
        <v>100.8</v>
      </c>
      <c r="E20" s="25">
        <f>+E17*E9</f>
        <v>58</v>
      </c>
      <c r="G20" s="22"/>
    </row>
    <row r="21" spans="1:366" ht="12.75" customHeight="1" x14ac:dyDescent="0.25">
      <c r="A21" s="22"/>
      <c r="B21" s="24"/>
      <c r="C21" s="25"/>
      <c r="D21" s="25"/>
      <c r="E21" s="25"/>
      <c r="G21" s="22"/>
    </row>
    <row r="22" spans="1:366" ht="12.75" customHeight="1" x14ac:dyDescent="0.25">
      <c r="A22" s="22"/>
      <c r="B22" s="86" t="s">
        <v>88</v>
      </c>
      <c r="C22" s="78"/>
      <c r="D22" s="78"/>
      <c r="E22" s="78"/>
      <c r="F22" s="203"/>
      <c r="G22" s="240"/>
    </row>
    <row r="23" spans="1:366" ht="12.75" customHeight="1" x14ac:dyDescent="0.25">
      <c r="A23" s="22"/>
      <c r="B23" s="87" t="s">
        <v>49</v>
      </c>
      <c r="C23" s="240"/>
      <c r="D23" s="240"/>
      <c r="E23" s="240"/>
      <c r="F23" s="240"/>
      <c r="G23" s="240"/>
    </row>
    <row r="24" spans="1:366" ht="18" customHeight="1" x14ac:dyDescent="0.25">
      <c r="A24" s="34"/>
      <c r="B24" s="71"/>
      <c r="C24" s="68" t="s">
        <v>92</v>
      </c>
      <c r="D24" s="164">
        <f>SUM(C20:E20)</f>
        <v>210.64</v>
      </c>
      <c r="E24" s="72" t="s">
        <v>164</v>
      </c>
      <c r="F24" s="71"/>
      <c r="G24" s="71"/>
      <c r="H24" s="34"/>
    </row>
    <row r="25" spans="1:366" ht="18" customHeight="1" x14ac:dyDescent="0.25">
      <c r="A25" s="39"/>
      <c r="B25" s="150"/>
      <c r="C25" s="69" t="s">
        <v>94</v>
      </c>
      <c r="D25" s="70">
        <f>ROUND(+D24/30,0)</f>
        <v>7</v>
      </c>
      <c r="E25" s="73" t="s">
        <v>4</v>
      </c>
      <c r="F25" s="150"/>
      <c r="G25" s="150"/>
      <c r="H25" s="35"/>
    </row>
    <row r="26" spans="1:366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366" ht="18" customHeight="1" x14ac:dyDescent="0.25">
      <c r="A27" s="34"/>
      <c r="B27" s="71"/>
      <c r="C27" s="68" t="s">
        <v>95</v>
      </c>
      <c r="D27" s="164">
        <f>SUM(C17*C19+D17*D19+E17*E19)</f>
        <v>8520.02</v>
      </c>
      <c r="E27" s="72" t="s">
        <v>3</v>
      </c>
      <c r="F27" s="71"/>
      <c r="G27" s="71"/>
      <c r="H27" s="34"/>
    </row>
    <row r="28" spans="1:366" s="17" customFormat="1" ht="12.75" customHeight="1" x14ac:dyDescent="0.25">
      <c r="A28" s="502" t="s">
        <v>166</v>
      </c>
      <c r="B28" s="502"/>
      <c r="C28" s="502"/>
      <c r="D28" s="502"/>
      <c r="E28" s="502"/>
      <c r="F28" s="502"/>
      <c r="G28" s="502"/>
      <c r="H28" s="502"/>
      <c r="I28" s="23"/>
      <c r="J28" s="23"/>
      <c r="K28" s="11"/>
      <c r="L28" s="1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</row>
    <row r="29" spans="1:366" s="17" customFormat="1" ht="12.75" customHeight="1" x14ac:dyDescent="0.25">
      <c r="A29" s="11"/>
      <c r="B29" s="11"/>
      <c r="C29" s="11"/>
      <c r="D29" s="11"/>
      <c r="E29" s="11"/>
      <c r="F29" s="11"/>
      <c r="G29" s="11"/>
      <c r="H29" s="11"/>
      <c r="I29" s="23"/>
      <c r="J29" s="23"/>
      <c r="K29" s="11"/>
      <c r="L29" s="11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</row>
    <row r="30" spans="1:366" s="17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23"/>
      <c r="J30" s="23"/>
      <c r="K30" s="11"/>
      <c r="L30" s="11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</row>
    <row r="31" spans="1:366" s="17" customFormat="1" ht="18" customHeight="1" x14ac:dyDescent="0.25">
      <c r="A31" s="11"/>
      <c r="B31" s="11"/>
      <c r="C31" s="11"/>
      <c r="D31" s="11"/>
      <c r="E31" s="11"/>
      <c r="F31" s="11"/>
      <c r="G31" s="11"/>
      <c r="H31" s="223" t="s">
        <v>9</v>
      </c>
      <c r="I31" s="23"/>
      <c r="J31" s="23"/>
      <c r="K31" s="11"/>
      <c r="L31" s="11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</row>
    <row r="32" spans="1:366" s="17" customFormat="1" ht="12.75" customHeight="1" x14ac:dyDescent="0.25">
      <c r="A32" s="11"/>
      <c r="B32" s="11"/>
      <c r="C32" s="11"/>
      <c r="D32" s="11"/>
      <c r="E32" s="11"/>
      <c r="F32" s="11"/>
      <c r="G32" s="11"/>
      <c r="H32" s="11"/>
      <c r="I32" s="23"/>
      <c r="J32" s="23"/>
      <c r="K32" s="11"/>
      <c r="L32" s="11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</row>
    <row r="33" spans="1:366" s="17" customFormat="1" ht="12.75" customHeight="1" x14ac:dyDescent="0.25">
      <c r="A33" s="11"/>
      <c r="B33" s="11"/>
      <c r="C33" s="11"/>
      <c r="D33" s="11"/>
      <c r="E33" s="11"/>
      <c r="F33" s="11"/>
      <c r="G33" s="11"/>
      <c r="H33" s="224" t="s">
        <v>55</v>
      </c>
      <c r="I33" s="23"/>
      <c r="J33" s="23"/>
      <c r="K33" s="11"/>
      <c r="L33" s="11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</row>
    <row r="34" spans="1:366" s="17" customFormat="1" ht="12.75" customHeight="1" x14ac:dyDescent="0.25">
      <c r="A34" s="11"/>
      <c r="B34" s="11"/>
      <c r="C34" s="11"/>
      <c r="D34" s="11"/>
      <c r="E34" s="11"/>
      <c r="F34" s="11"/>
      <c r="G34" s="23"/>
      <c r="H34" s="199" t="s">
        <v>54</v>
      </c>
      <c r="I34" s="23"/>
      <c r="J34" s="23"/>
      <c r="K34" s="11"/>
      <c r="L34" s="11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</row>
    <row r="35" spans="1:366" s="17" customFormat="1" ht="12.75" customHeight="1" x14ac:dyDescent="0.25">
      <c r="A35" s="11"/>
      <c r="B35" s="11"/>
      <c r="C35" s="11"/>
      <c r="D35" s="11"/>
      <c r="E35" s="11"/>
      <c r="F35" s="11"/>
      <c r="G35" s="23"/>
      <c r="H35" s="268"/>
      <c r="I35" s="23"/>
      <c r="J35" s="23"/>
      <c r="K35" s="11"/>
      <c r="L35" s="11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</row>
    <row r="36" spans="1:366" s="17" customFormat="1" ht="12.75" customHeight="1" x14ac:dyDescent="0.25">
      <c r="A36" s="11"/>
      <c r="B36" s="11"/>
      <c r="C36" s="11"/>
      <c r="D36" s="11"/>
      <c r="E36" s="11"/>
      <c r="F36" s="11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</row>
    <row r="37" spans="1:366" s="17" customFormat="1" ht="12.75" customHeight="1" x14ac:dyDescent="0.25">
      <c r="A37" s="11"/>
      <c r="B37" s="11"/>
      <c r="C37" s="11"/>
      <c r="D37" s="11"/>
      <c r="E37" s="11"/>
      <c r="F37" s="11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</row>
    <row r="38" spans="1:366" s="17" customFormat="1" ht="12.75" customHeight="1" x14ac:dyDescent="0.25">
      <c r="A38" s="11"/>
      <c r="B38" s="11"/>
      <c r="C38" s="11"/>
      <c r="D38" s="11"/>
      <c r="E38" s="11"/>
      <c r="F38" s="11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</row>
    <row r="39" spans="1:366" s="17" customFormat="1" ht="12.75" customHeight="1" x14ac:dyDescent="0.25">
      <c r="A39" s="11"/>
      <c r="B39" s="11"/>
      <c r="C39" s="11"/>
      <c r="D39" s="11"/>
      <c r="E39" s="11"/>
      <c r="F39" s="11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</row>
    <row r="40" spans="1:366" s="17" customFormat="1" ht="12.75" customHeight="1" x14ac:dyDescent="0.25">
      <c r="A40" s="11"/>
      <c r="B40" s="11"/>
      <c r="C40" s="11"/>
      <c r="D40" s="11"/>
      <c r="E40" s="11"/>
      <c r="F40" s="11"/>
      <c r="G40" s="23"/>
      <c r="H40" s="11"/>
      <c r="I40" s="11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11"/>
      <c r="X40" s="11"/>
      <c r="Y40" s="11"/>
      <c r="Z40" s="11"/>
      <c r="AA40" s="11"/>
      <c r="AB40" s="11"/>
      <c r="AC40" s="11"/>
      <c r="AD40" s="11"/>
      <c r="AE40" s="11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</row>
    <row r="41" spans="1:366" s="17" customFormat="1" ht="12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11"/>
      <c r="X41" s="11"/>
      <c r="Y41" s="11"/>
      <c r="Z41" s="11"/>
      <c r="AA41" s="11"/>
      <c r="AB41" s="11"/>
      <c r="AC41" s="11"/>
      <c r="AD41" s="11"/>
      <c r="AE41" s="11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</row>
    <row r="42" spans="1:366" s="17" customFormat="1" ht="12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11"/>
      <c r="X42" s="11"/>
      <c r="Y42" s="11"/>
      <c r="Z42" s="11"/>
      <c r="AA42" s="11"/>
      <c r="AB42" s="11"/>
      <c r="AC42" s="11"/>
      <c r="AD42" s="11"/>
      <c r="AE42" s="11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</row>
    <row r="43" spans="1:366" s="17" customFormat="1" ht="12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1"/>
      <c r="X43" s="11"/>
      <c r="Y43" s="11"/>
      <c r="Z43" s="11"/>
      <c r="AA43" s="11"/>
      <c r="AB43" s="11"/>
      <c r="AC43" s="11"/>
      <c r="AD43" s="11"/>
      <c r="AE43" s="11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</row>
    <row r="44" spans="1:366" s="17" customFormat="1" ht="12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11"/>
      <c r="X44" s="11"/>
      <c r="Y44" s="11"/>
      <c r="Z44" s="11"/>
      <c r="AA44" s="11"/>
      <c r="AB44" s="11"/>
      <c r="AC44" s="11"/>
      <c r="AD44" s="11"/>
      <c r="AE44" s="11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</row>
    <row r="45" spans="1:366" s="17" customFormat="1" ht="12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</row>
    <row r="46" spans="1:366" s="17" customFormat="1" ht="21" customHeight="1" x14ac:dyDescent="0.3">
      <c r="A46" s="23"/>
      <c r="B46" s="15" t="s">
        <v>16</v>
      </c>
      <c r="C46" s="113"/>
      <c r="D46" s="113"/>
      <c r="E46" s="113"/>
      <c r="F46" s="113"/>
      <c r="G46" s="113"/>
      <c r="H46" s="1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</row>
    <row r="47" spans="1:366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</row>
    <row r="48" spans="1:366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</row>
    <row r="49" spans="1:31" x14ac:dyDescent="0.25"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13"/>
      <c r="B50" s="11"/>
      <c r="C50" s="11"/>
      <c r="D50" s="11"/>
      <c r="E50" s="11"/>
      <c r="F50" s="11"/>
      <c r="G50" s="11"/>
    </row>
    <row r="51" spans="1:31" x14ac:dyDescent="0.25">
      <c r="A51" s="13"/>
      <c r="B51" s="11"/>
      <c r="C51" s="11"/>
      <c r="D51" s="11"/>
      <c r="E51" s="11"/>
      <c r="F51" s="11"/>
      <c r="G51" s="320"/>
    </row>
  </sheetData>
  <sheetProtection algorithmName="SHA-512" hashValue="jiyjWFa6TcTXGGXb8NIIeXe2qXPeUoDefnLG3pkPIrYSbdfHzGlhJenARXw0JO7QLCg+mWgOCXD3GMdmw6bCxw==" saltValue="lfOEY9q1nR0cZ4oNP5tr9A==" spinCount="100000" sheet="1" selectLockedCells="1"/>
  <mergeCells count="4">
    <mergeCell ref="A1:H1"/>
    <mergeCell ref="G10:H15"/>
    <mergeCell ref="B26:G26"/>
    <mergeCell ref="A28:H28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0200-000000000000}"/>
  </dataValidations>
  <hyperlinks>
    <hyperlink ref="H38" r:id="rId1" xr:uid="{00000000-0004-0000-0200-000000000000}"/>
    <hyperlink ref="H37" r:id="rId2" xr:uid="{00000000-0004-0000-0200-000001000000}"/>
    <hyperlink ref="H36" r:id="rId3" xr:uid="{00000000-0004-0000-0200-000002000000}"/>
    <hyperlink ref="H34" r:id="rId4" xr:uid="{00000000-0004-0000-02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>
    <tabColor rgb="FFFF0000"/>
  </sheetPr>
  <dimension ref="A1:AM48"/>
  <sheetViews>
    <sheetView zoomScaleNormal="100" workbookViewId="0">
      <selection activeCell="L43" sqref="L4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23" t="s">
        <v>200</v>
      </c>
      <c r="B1" s="523"/>
      <c r="C1" s="523"/>
      <c r="D1" s="523"/>
      <c r="E1" s="523"/>
      <c r="F1" s="523"/>
      <c r="G1" s="523"/>
      <c r="H1" s="523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">
      <c r="A7" s="7"/>
      <c r="B7" s="100" t="s">
        <v>0</v>
      </c>
      <c r="C7" s="101" t="s">
        <v>32</v>
      </c>
      <c r="D7" s="102" t="s">
        <v>33</v>
      </c>
      <c r="E7" s="102" t="s">
        <v>34</v>
      </c>
      <c r="F7" s="259" t="s">
        <v>35</v>
      </c>
      <c r="G7" s="239"/>
      <c r="H7" s="229"/>
    </row>
    <row r="8" spans="1:8" ht="18" customHeight="1" thickTop="1" x14ac:dyDescent="0.25">
      <c r="A8" s="22"/>
      <c r="B8" s="103" t="s">
        <v>11</v>
      </c>
      <c r="C8" s="88">
        <v>0.15</v>
      </c>
      <c r="D8" s="89">
        <v>0.4</v>
      </c>
      <c r="E8" s="89">
        <v>0.3</v>
      </c>
      <c r="F8" s="152">
        <v>0.15</v>
      </c>
      <c r="G8" s="74">
        <f>SUM(C8,D8,E8,F8)</f>
        <v>1</v>
      </c>
      <c r="H8" s="229"/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0.96</v>
      </c>
      <c r="E9" s="105">
        <v>1.45</v>
      </c>
      <c r="F9" s="242">
        <v>1.92</v>
      </c>
      <c r="G9" s="240"/>
      <c r="H9" s="203"/>
    </row>
    <row r="10" spans="1:8" ht="12.75" customHeight="1" x14ac:dyDescent="0.25">
      <c r="A10" s="22"/>
      <c r="B10" s="50" t="s">
        <v>1</v>
      </c>
      <c r="C10" s="106">
        <f>+($E$5*C8)/C9</f>
        <v>62.5</v>
      </c>
      <c r="D10" s="107">
        <f>+($E$5*D8)/D9</f>
        <v>83.333333333333343</v>
      </c>
      <c r="E10" s="107">
        <f>+($E$5*E8)/E9</f>
        <v>41.379310344827587</v>
      </c>
      <c r="F10" s="241">
        <f>+($E$5*F8)/F9</f>
        <v>15.625</v>
      </c>
      <c r="G10" s="501" t="s">
        <v>89</v>
      </c>
      <c r="H10" s="501"/>
    </row>
    <row r="11" spans="1:8" ht="12.75" customHeight="1" x14ac:dyDescent="0.25">
      <c r="A11" s="22"/>
      <c r="B11" s="51" t="s">
        <v>67</v>
      </c>
      <c r="C11" s="104">
        <v>159</v>
      </c>
      <c r="D11" s="105">
        <v>74</v>
      </c>
      <c r="E11" s="105">
        <v>45</v>
      </c>
      <c r="F11" s="242">
        <v>27</v>
      </c>
      <c r="G11" s="501"/>
      <c r="H11" s="501"/>
    </row>
    <row r="12" spans="1:8" ht="12.75" customHeight="1" thickBot="1" x14ac:dyDescent="0.3">
      <c r="A12" s="22"/>
      <c r="B12" s="115" t="s">
        <v>83</v>
      </c>
      <c r="C12" s="138">
        <v>10.6</v>
      </c>
      <c r="D12" s="138">
        <v>10.6</v>
      </c>
      <c r="E12" s="105">
        <v>9</v>
      </c>
      <c r="F12" s="242">
        <v>9</v>
      </c>
      <c r="G12" s="501"/>
      <c r="H12" s="501"/>
    </row>
    <row r="13" spans="1:8" ht="18.75" hidden="1" customHeight="1" x14ac:dyDescent="0.25">
      <c r="A13" s="22"/>
      <c r="B13" s="116" t="s">
        <v>63</v>
      </c>
      <c r="C13" s="138">
        <v>11</v>
      </c>
      <c r="D13" s="138">
        <v>11</v>
      </c>
      <c r="E13" s="105">
        <v>9</v>
      </c>
      <c r="F13" s="242">
        <v>9</v>
      </c>
      <c r="G13" s="501"/>
      <c r="H13" s="501"/>
    </row>
    <row r="14" spans="1:8" ht="18.75" hidden="1" customHeight="1" thickBot="1" x14ac:dyDescent="0.3">
      <c r="A14" s="22"/>
      <c r="B14" s="116" t="s">
        <v>64</v>
      </c>
      <c r="C14" s="138">
        <v>10</v>
      </c>
      <c r="D14" s="138">
        <v>10</v>
      </c>
      <c r="E14" s="105">
        <v>9</v>
      </c>
      <c r="F14" s="242">
        <v>9</v>
      </c>
      <c r="G14" s="501"/>
      <c r="H14" s="501"/>
    </row>
    <row r="15" spans="1:8" ht="18" customHeight="1" thickBot="1" x14ac:dyDescent="0.3">
      <c r="A15" s="22"/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501"/>
      <c r="H15" s="501"/>
    </row>
    <row r="16" spans="1:8" ht="18" customHeight="1" thickBot="1" x14ac:dyDescent="0.3">
      <c r="A16" s="22"/>
      <c r="B16" s="139" t="s">
        <v>84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2</v>
      </c>
      <c r="G16" s="260"/>
      <c r="H16" s="203"/>
    </row>
    <row r="17" spans="1:39" ht="18" customHeight="1" x14ac:dyDescent="0.25">
      <c r="A17" s="22"/>
      <c r="B17" s="140" t="s">
        <v>65</v>
      </c>
      <c r="C17" s="123">
        <f>(C15*C11)+IF(OR(C16=3,C16=8,C16=13),(ROUNDUP(C16*0.67,0)*C13)+(ROUNDDOWN(C16*0.31,0)*C14),(ROUNDUP(C16*0.6,0)*C13)+(ROUNDDOWN(C16*0.4,0)*C14))</f>
        <v>64</v>
      </c>
      <c r="D17" s="123">
        <f>(D15*D11)+(ROUNDUP(D16/2,0)*D13)+(ROUNDDOWN(D16/2,0)*D14)</f>
        <v>85</v>
      </c>
      <c r="E17" s="123">
        <f>(E15*E11)+(ROUNDUP(E16/2,0)*E13)+(ROUNDDOWN(E16/2,0)*E14)</f>
        <v>45</v>
      </c>
      <c r="F17" s="123">
        <f>(F15*F11)+(ROUNDUP(F16/2,0)*F13)+(ROUNDDOWN(F16/2,0)*F14)</f>
        <v>18</v>
      </c>
      <c r="G17" s="260"/>
      <c r="H17" s="203"/>
    </row>
    <row r="18" spans="1:39" ht="12.75" customHeight="1" x14ac:dyDescent="0.25">
      <c r="A18" s="22"/>
      <c r="B18" s="143" t="s">
        <v>70</v>
      </c>
      <c r="C18" s="78">
        <f>C11*C19</f>
        <v>2874.72</v>
      </c>
      <c r="D18" s="78">
        <f>D11*D19</f>
        <v>2855.4749999999999</v>
      </c>
      <c r="E18" s="78">
        <f>E11*E19</f>
        <v>2758.4549999999999</v>
      </c>
      <c r="F18" s="78">
        <f>F11*F19</f>
        <v>2309.9580000000001</v>
      </c>
      <c r="G18" s="240"/>
      <c r="H18" s="203"/>
    </row>
    <row r="19" spans="1:39" ht="12.75" customHeight="1" x14ac:dyDescent="0.25">
      <c r="A19" s="22"/>
      <c r="B19" s="217" t="s">
        <v>69</v>
      </c>
      <c r="C19" s="236">
        <v>18.079999999999998</v>
      </c>
      <c r="D19" s="236">
        <v>38.587499999999999</v>
      </c>
      <c r="E19" s="236">
        <v>61.298999999999999</v>
      </c>
      <c r="F19" s="236">
        <v>85.554000000000002</v>
      </c>
      <c r="G19" s="240"/>
      <c r="H19" s="203"/>
      <c r="M19" s="261"/>
    </row>
    <row r="20" spans="1:39" ht="8.25" hidden="1" customHeight="1" x14ac:dyDescent="0.25">
      <c r="A20" s="22"/>
      <c r="B20" s="219" t="s">
        <v>71</v>
      </c>
      <c r="C20" s="78">
        <f>+C17*C9</f>
        <v>30.72</v>
      </c>
      <c r="D20" s="78">
        <f>+D17*D9</f>
        <v>81.599999999999994</v>
      </c>
      <c r="E20" s="78">
        <f>+E17*E9</f>
        <v>65.25</v>
      </c>
      <c r="F20" s="78">
        <f>+F17*F9</f>
        <v>34.56</v>
      </c>
      <c r="G20" s="240"/>
      <c r="H20" s="203"/>
    </row>
    <row r="21" spans="1:39" ht="12.75" customHeight="1" x14ac:dyDescent="0.25">
      <c r="A21" s="22"/>
      <c r="B21" s="262"/>
      <c r="C21" s="218"/>
      <c r="D21" s="218"/>
      <c r="E21" s="218"/>
      <c r="F21" s="218"/>
      <c r="G21" s="240"/>
      <c r="H21" s="203"/>
    </row>
    <row r="22" spans="1:39" ht="12.75" customHeight="1" x14ac:dyDescent="0.25">
      <c r="A22" s="22"/>
      <c r="B22" s="77" t="s">
        <v>198</v>
      </c>
      <c r="C22" s="218"/>
      <c r="D22" s="218"/>
      <c r="E22" s="218"/>
      <c r="F22" s="218"/>
      <c r="G22" s="240"/>
      <c r="H22" s="203"/>
    </row>
    <row r="23" spans="1:39" ht="12.75" customHeight="1" x14ac:dyDescent="0.25">
      <c r="A23" s="22"/>
      <c r="B23" s="86" t="s">
        <v>104</v>
      </c>
      <c r="C23" s="218"/>
      <c r="D23" s="218"/>
      <c r="E23" s="218"/>
      <c r="F23" s="218"/>
      <c r="G23" s="240"/>
      <c r="H23" s="203"/>
    </row>
    <row r="24" spans="1:39" ht="12.75" customHeight="1" x14ac:dyDescent="0.25">
      <c r="A24" s="22"/>
      <c r="B24" s="261" t="s">
        <v>201</v>
      </c>
      <c r="C24" s="218"/>
      <c r="D24" s="218"/>
      <c r="E24" s="218"/>
      <c r="F24" s="218"/>
      <c r="G24" s="240"/>
      <c r="H24" s="203"/>
    </row>
    <row r="25" spans="1:39" ht="12.75" customHeight="1" x14ac:dyDescent="0.25">
      <c r="A25" s="22"/>
      <c r="B25" s="86" t="s">
        <v>88</v>
      </c>
      <c r="C25" s="218"/>
      <c r="D25" s="218"/>
      <c r="E25" s="218"/>
      <c r="F25" s="218"/>
      <c r="G25" s="240"/>
      <c r="H25" s="203"/>
    </row>
    <row r="26" spans="1:39" ht="12.75" customHeight="1" x14ac:dyDescent="0.25">
      <c r="A26" s="22"/>
      <c r="B26" s="87" t="s">
        <v>49</v>
      </c>
      <c r="C26" s="218"/>
      <c r="D26" s="218"/>
      <c r="E26" s="218"/>
      <c r="F26" s="218"/>
      <c r="G26" s="240"/>
      <c r="H26" s="203"/>
    </row>
    <row r="27" spans="1:39" ht="18" customHeight="1" x14ac:dyDescent="0.25">
      <c r="A27" s="44"/>
      <c r="B27" s="44"/>
      <c r="C27" s="243" t="s">
        <v>92</v>
      </c>
      <c r="D27" s="234">
        <f>SUM(C20:F20)</f>
        <v>212.13</v>
      </c>
      <c r="E27" s="258" t="s">
        <v>17</v>
      </c>
      <c r="F27" s="44"/>
      <c r="G27" s="44"/>
      <c r="H27" s="46"/>
      <c r="K27" s="22"/>
    </row>
    <row r="28" spans="1:39" ht="18" customHeight="1" x14ac:dyDescent="0.25">
      <c r="A28" s="39"/>
      <c r="B28" s="39"/>
      <c r="C28" s="69" t="s">
        <v>2</v>
      </c>
      <c r="D28" s="70">
        <f>ROUND(+D27/35,0)</f>
        <v>6</v>
      </c>
      <c r="E28" s="73" t="s">
        <v>4</v>
      </c>
      <c r="F28" s="39"/>
      <c r="G28" s="39"/>
      <c r="H28" s="35"/>
    </row>
    <row r="29" spans="1:39" ht="12.75" customHeight="1" x14ac:dyDescent="0.25">
      <c r="A29" s="39"/>
      <c r="B29" s="498" t="s">
        <v>8</v>
      </c>
      <c r="C29" s="498"/>
      <c r="D29" s="498"/>
      <c r="E29" s="498"/>
      <c r="F29" s="498"/>
      <c r="G29" s="498"/>
      <c r="H29" s="35"/>
    </row>
    <row r="30" spans="1:39" ht="18" customHeight="1" x14ac:dyDescent="0.25">
      <c r="A30" s="44"/>
      <c r="B30" s="44"/>
      <c r="C30" s="243" t="s">
        <v>95</v>
      </c>
      <c r="D30" s="234">
        <f>SUM(C17*C19+D17*D19+E17*E19+F17*F19)</f>
        <v>8735.4845000000005</v>
      </c>
      <c r="E30" s="258" t="s">
        <v>3</v>
      </c>
      <c r="F30" s="44"/>
      <c r="G30" s="44"/>
      <c r="H30" s="46"/>
    </row>
    <row r="31" spans="1:39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s="17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s="17" customFormat="1" ht="17.399999999999999" x14ac:dyDescent="0.25">
      <c r="A34" s="23"/>
      <c r="B34" s="23"/>
      <c r="C34" s="23"/>
      <c r="D34" s="23"/>
      <c r="E34" s="23"/>
      <c r="F34" s="23"/>
      <c r="G34" s="23"/>
      <c r="H34" s="223" t="s">
        <v>9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s="17" customFormat="1" x14ac:dyDescent="0.25">
      <c r="A35" s="23"/>
      <c r="B35" s="23"/>
      <c r="C35" s="23"/>
      <c r="D35" s="23"/>
      <c r="E35" s="23"/>
      <c r="F35" s="23"/>
      <c r="G35" s="23"/>
      <c r="H35" s="1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s="17" customFormat="1" x14ac:dyDescent="0.25">
      <c r="A36" s="23"/>
      <c r="B36" s="23"/>
      <c r="C36" s="23"/>
      <c r="D36" s="23"/>
      <c r="E36" s="23"/>
      <c r="F36" s="23"/>
      <c r="G36" s="23"/>
      <c r="H36" s="224" t="s">
        <v>55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s="17" customFormat="1" x14ac:dyDescent="0.25">
      <c r="A37" s="23"/>
      <c r="B37" s="23"/>
      <c r="C37" s="23"/>
      <c r="D37" s="23"/>
      <c r="E37" s="23"/>
      <c r="F37" s="23"/>
      <c r="G37" s="23"/>
      <c r="H37" s="199" t="s">
        <v>54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s="17" customFormat="1" x14ac:dyDescent="0.25">
      <c r="A38" s="23"/>
      <c r="B38" s="23"/>
      <c r="C38" s="23"/>
      <c r="D38" s="23"/>
      <c r="E38" s="23"/>
      <c r="F38" s="23"/>
      <c r="G38" s="23"/>
      <c r="H38" s="246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s="17" customFormat="1" x14ac:dyDescent="0.25">
      <c r="A39" s="23"/>
      <c r="B39" s="23"/>
      <c r="C39" s="23"/>
      <c r="D39" s="23"/>
      <c r="E39" s="23"/>
      <c r="F39" s="23"/>
      <c r="G39" s="23"/>
      <c r="H39" s="199" t="s">
        <v>6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s="17" customFormat="1" x14ac:dyDescent="0.25">
      <c r="A40" s="23"/>
      <c r="B40" s="23"/>
      <c r="C40" s="23"/>
      <c r="D40" s="23"/>
      <c r="E40" s="23"/>
      <c r="F40" s="23"/>
      <c r="G40" s="23"/>
      <c r="H40" s="199" t="s">
        <v>58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s="17" customFormat="1" x14ac:dyDescent="0.25">
      <c r="A41" s="23"/>
      <c r="B41" s="23"/>
      <c r="C41" s="23"/>
      <c r="D41" s="23"/>
      <c r="E41" s="23"/>
      <c r="F41" s="23"/>
      <c r="G41" s="23"/>
      <c r="H41" s="199" t="s">
        <v>10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s="17" customFormat="1" x14ac:dyDescent="0.25">
      <c r="A42" s="23"/>
      <c r="B42" s="23"/>
      <c r="C42" s="23"/>
      <c r="D42" s="23"/>
      <c r="E42" s="23"/>
      <c r="F42" s="23"/>
      <c r="G42" s="23"/>
      <c r="H42" s="225" t="s">
        <v>7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selectLockedCells="1"/>
  <mergeCells count="3">
    <mergeCell ref="A1:H1"/>
    <mergeCell ref="G10:H15"/>
    <mergeCell ref="B29:G29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C00-000000000000}"/>
  </dataValidations>
  <hyperlinks>
    <hyperlink ref="H41" r:id="rId1" xr:uid="{00000000-0004-0000-1C00-000000000000}"/>
    <hyperlink ref="H40" r:id="rId2" xr:uid="{00000000-0004-0000-1C00-000001000000}"/>
    <hyperlink ref="H39" r:id="rId3" xr:uid="{00000000-0004-0000-1C00-000002000000}"/>
    <hyperlink ref="H37" r:id="rId4" xr:uid="{00000000-0004-0000-1C00-000003000000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>
    <tabColor rgb="FF7030A0"/>
  </sheetPr>
  <dimension ref="A1:N54"/>
  <sheetViews>
    <sheetView showGridLines="0" showRowColHeaders="0" zoomScale="115" zoomScaleNormal="115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12" ht="24" customHeight="1" x14ac:dyDescent="0.25">
      <c r="A1" s="531" t="s">
        <v>217</v>
      </c>
      <c r="B1" s="531"/>
      <c r="C1" s="531"/>
      <c r="D1" s="531"/>
      <c r="E1" s="531"/>
      <c r="F1" s="531"/>
      <c r="G1" s="531"/>
      <c r="H1" s="531"/>
      <c r="I1" s="531"/>
    </row>
    <row r="2" spans="1:12" ht="12.75" customHeight="1" x14ac:dyDescent="0.25">
      <c r="A2" s="22"/>
      <c r="B2" s="22"/>
      <c r="C2" s="22"/>
      <c r="D2" s="22"/>
      <c r="E2" s="22"/>
      <c r="F2" s="22"/>
      <c r="G2" s="22"/>
    </row>
    <row r="3" spans="1:12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12" ht="18" customHeight="1" x14ac:dyDescent="0.3">
      <c r="A4" s="22"/>
      <c r="B4" s="355"/>
      <c r="C4" s="356"/>
      <c r="D4" s="357" t="s">
        <v>76</v>
      </c>
      <c r="E4" s="358">
        <v>20</v>
      </c>
      <c r="F4" s="158"/>
      <c r="G4" s="2"/>
      <c r="H4" s="3"/>
    </row>
    <row r="5" spans="1:12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12" ht="18" customHeight="1" x14ac:dyDescent="0.3">
      <c r="A6" s="22"/>
      <c r="B6" s="42"/>
      <c r="C6" s="43"/>
      <c r="D6" s="134" t="s">
        <v>215</v>
      </c>
      <c r="E6" s="346">
        <f>E3-(E4*0.75)+(E3*E5/100)</f>
        <v>195</v>
      </c>
      <c r="F6" s="16"/>
      <c r="G6" s="160"/>
      <c r="H6" s="160"/>
    </row>
    <row r="7" spans="1:12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12" ht="18" customHeight="1" thickBot="1" x14ac:dyDescent="0.3">
      <c r="A8" s="22"/>
      <c r="B8" s="364" t="s">
        <v>99</v>
      </c>
      <c r="C8" s="101" t="s">
        <v>32</v>
      </c>
      <c r="D8" s="102" t="s">
        <v>33</v>
      </c>
      <c r="E8" s="102" t="s">
        <v>34</v>
      </c>
      <c r="F8" s="259" t="s">
        <v>35</v>
      </c>
      <c r="G8" s="239"/>
      <c r="H8" s="229"/>
    </row>
    <row r="9" spans="1:12" ht="18" customHeight="1" thickTop="1" x14ac:dyDescent="0.25">
      <c r="A9" s="22"/>
      <c r="B9" s="103" t="s">
        <v>11</v>
      </c>
      <c r="C9" s="88">
        <v>0.1</v>
      </c>
      <c r="D9" s="89">
        <v>0.4</v>
      </c>
      <c r="E9" s="89">
        <v>0.3</v>
      </c>
      <c r="F9" s="152">
        <v>0.2</v>
      </c>
      <c r="G9" s="74">
        <f>SUM(C9,D9,E9,F9)</f>
        <v>1</v>
      </c>
      <c r="H9" s="229"/>
    </row>
    <row r="10" spans="1:12" ht="12.75" customHeight="1" x14ac:dyDescent="0.25">
      <c r="A10" s="22"/>
      <c r="B10" s="51" t="s">
        <v>66</v>
      </c>
      <c r="C10" s="104">
        <v>0.48</v>
      </c>
      <c r="D10" s="105">
        <v>0.96</v>
      </c>
      <c r="E10" s="105">
        <v>1.45</v>
      </c>
      <c r="F10" s="242">
        <v>1.92</v>
      </c>
      <c r="G10" s="240"/>
      <c r="H10" s="203"/>
      <c r="K10"/>
      <c r="L10" s="6"/>
    </row>
    <row r="11" spans="1:12" ht="12.75" customHeight="1" thickBot="1" x14ac:dyDescent="0.3">
      <c r="A11" s="22"/>
      <c r="B11" s="51" t="s">
        <v>175</v>
      </c>
      <c r="C11" s="62">
        <f>ROUND(5*C9/C10,0)</f>
        <v>1</v>
      </c>
      <c r="D11" s="393">
        <f>ROUND(5*D9/D10,0)</f>
        <v>2</v>
      </c>
      <c r="E11" s="393">
        <f>ROUND(5*E9/E10,0)</f>
        <v>1</v>
      </c>
      <c r="F11" s="393">
        <f>ROUND(5*F9/F10,0)</f>
        <v>1</v>
      </c>
      <c r="G11" s="391"/>
      <c r="H11" s="391"/>
      <c r="K11"/>
      <c r="L11" s="6"/>
    </row>
    <row r="12" spans="1:12" ht="12.75" hidden="1" customHeight="1" thickBot="1" x14ac:dyDescent="0.3">
      <c r="A12" s="22"/>
      <c r="B12" s="392" t="s">
        <v>237</v>
      </c>
      <c r="C12" s="538">
        <f>((C11*C10)+(D11*D10)+(E11*E10)+(F11*F10))</f>
        <v>5.77</v>
      </c>
      <c r="D12" s="539"/>
      <c r="E12" s="539"/>
      <c r="F12" s="540"/>
      <c r="G12" s="391"/>
      <c r="H12" s="391"/>
    </row>
    <row r="13" spans="1:12" ht="18" customHeight="1" x14ac:dyDescent="0.25">
      <c r="A13" s="22"/>
      <c r="B13" s="140" t="s">
        <v>65</v>
      </c>
      <c r="C13" s="123">
        <f>$E$6*C9/C10</f>
        <v>40.625</v>
      </c>
      <c r="D13" s="123">
        <f t="shared" ref="D13:F13" si="0">$E$6*D9/D10</f>
        <v>81.25</v>
      </c>
      <c r="E13" s="123">
        <f t="shared" si="0"/>
        <v>40.344827586206897</v>
      </c>
      <c r="F13" s="123">
        <f t="shared" si="0"/>
        <v>20.3125</v>
      </c>
      <c r="G13" s="260"/>
      <c r="H13" s="203"/>
    </row>
    <row r="14" spans="1:12" ht="18" customHeight="1" x14ac:dyDescent="0.25">
      <c r="A14" s="22"/>
      <c r="B14" s="438" t="s">
        <v>112</v>
      </c>
      <c r="C14" s="535">
        <f>ROUND((C13+D13+E13+F13) / (C11+D11+E11+F11),0)</f>
        <v>37</v>
      </c>
      <c r="D14" s="536"/>
      <c r="E14" s="536"/>
      <c r="F14" s="536"/>
      <c r="G14" s="442"/>
      <c r="H14" s="501" t="s">
        <v>282</v>
      </c>
      <c r="I14" s="501"/>
    </row>
    <row r="15" spans="1:12" ht="12.75" hidden="1" customHeight="1" x14ac:dyDescent="0.25">
      <c r="A15" s="22"/>
      <c r="B15" s="143" t="s">
        <v>70</v>
      </c>
      <c r="C15" s="78">
        <f>C11*C16</f>
        <v>0</v>
      </c>
      <c r="D15" s="78">
        <f>D11*D16</f>
        <v>0</v>
      </c>
      <c r="E15" s="78">
        <f>E11*E16</f>
        <v>0</v>
      </c>
      <c r="F15" s="78">
        <f>F11*F16</f>
        <v>0</v>
      </c>
      <c r="G15" s="442"/>
      <c r="H15" s="501"/>
      <c r="I15" s="501"/>
    </row>
    <row r="16" spans="1:12" ht="12.75" hidden="1" customHeight="1" x14ac:dyDescent="0.25">
      <c r="A16" s="22"/>
      <c r="B16" s="217" t="s">
        <v>69</v>
      </c>
      <c r="C16" s="236">
        <v>0</v>
      </c>
      <c r="D16" s="236">
        <v>0</v>
      </c>
      <c r="E16" s="236">
        <v>0</v>
      </c>
      <c r="F16" s="236">
        <v>0</v>
      </c>
      <c r="G16" s="442"/>
      <c r="H16" s="501"/>
      <c r="I16" s="501"/>
    </row>
    <row r="17" spans="1:9" ht="12.75" hidden="1" customHeight="1" x14ac:dyDescent="0.25">
      <c r="A17" s="22"/>
      <c r="B17" s="219" t="s">
        <v>71</v>
      </c>
      <c r="C17" s="78">
        <f>+C13*C10</f>
        <v>19.5</v>
      </c>
      <c r="D17" s="78">
        <f>+D13*D10</f>
        <v>78</v>
      </c>
      <c r="E17" s="78">
        <f>+E13*E10</f>
        <v>58.5</v>
      </c>
      <c r="F17" s="78">
        <f>+F13*F10</f>
        <v>39</v>
      </c>
      <c r="G17" s="442"/>
      <c r="H17" s="501"/>
      <c r="I17" s="501"/>
    </row>
    <row r="18" spans="1:9" ht="12.75" customHeight="1" x14ac:dyDescent="0.25">
      <c r="A18" s="22"/>
      <c r="B18" s="262"/>
      <c r="C18" s="218"/>
      <c r="D18" s="218"/>
      <c r="E18" s="218"/>
      <c r="F18" s="218"/>
      <c r="G18" s="442"/>
      <c r="H18" s="501"/>
      <c r="I18" s="501"/>
    </row>
    <row r="19" spans="1:9" ht="18" customHeight="1" thickBot="1" x14ac:dyDescent="0.3">
      <c r="A19" s="22"/>
      <c r="B19" s="371" t="s">
        <v>98</v>
      </c>
      <c r="C19" s="369" t="s">
        <v>32</v>
      </c>
      <c r="D19" s="370" t="s">
        <v>33</v>
      </c>
      <c r="E19" s="370" t="s">
        <v>34</v>
      </c>
      <c r="F19" s="370" t="s">
        <v>35</v>
      </c>
      <c r="G19" s="442"/>
      <c r="H19" s="501"/>
      <c r="I19" s="501"/>
    </row>
    <row r="20" spans="1:9" ht="18" customHeight="1" thickTop="1" x14ac:dyDescent="0.25">
      <c r="A20" s="22"/>
      <c r="B20" s="368" t="s">
        <v>11</v>
      </c>
      <c r="C20" s="365">
        <v>0.1</v>
      </c>
      <c r="D20" s="366">
        <v>0.4</v>
      </c>
      <c r="E20" s="366">
        <v>0.3</v>
      </c>
      <c r="F20" s="366">
        <v>0.2</v>
      </c>
      <c r="G20" s="74">
        <f>SUM(C20,D20,E20,F20)</f>
        <v>1</v>
      </c>
      <c r="H20"/>
    </row>
    <row r="21" spans="1:9" ht="12.75" customHeight="1" x14ac:dyDescent="0.25">
      <c r="A21" s="22"/>
      <c r="B21" s="372" t="s">
        <v>218</v>
      </c>
      <c r="C21" s="373">
        <v>0.24</v>
      </c>
      <c r="D21" s="374">
        <v>0.48</v>
      </c>
      <c r="E21" s="374">
        <v>0.72</v>
      </c>
      <c r="F21" s="374">
        <v>0.96</v>
      </c>
      <c r="G21" s="367"/>
      <c r="H21"/>
    </row>
    <row r="22" spans="1:9" ht="12.75" customHeight="1" thickBot="1" x14ac:dyDescent="0.3">
      <c r="A22" s="22"/>
      <c r="B22" s="372" t="s">
        <v>175</v>
      </c>
      <c r="C22" s="432">
        <v>3</v>
      </c>
      <c r="D22" s="384">
        <f>ROUND(5*D20/D21,0)</f>
        <v>4</v>
      </c>
      <c r="E22" s="384">
        <f>ROUND(5*E20/E21,0)</f>
        <v>2</v>
      </c>
      <c r="F22" s="384">
        <f>ROUND(5*F20/F21,0)</f>
        <v>1</v>
      </c>
      <c r="G22" s="367"/>
      <c r="H22"/>
    </row>
    <row r="23" spans="1:9" ht="12.75" hidden="1" customHeight="1" thickBot="1" x14ac:dyDescent="0.3">
      <c r="A23" s="22"/>
      <c r="B23" s="51" t="s">
        <v>237</v>
      </c>
      <c r="C23" s="532">
        <f>((C22*C21)+(D22*D21)+(E22*E21)+(F22*F21))</f>
        <v>5.04</v>
      </c>
      <c r="D23" s="533"/>
      <c r="E23" s="533"/>
      <c r="F23" s="534"/>
      <c r="G23" s="367"/>
      <c r="H23"/>
    </row>
    <row r="24" spans="1:9" ht="12.75" customHeight="1" x14ac:dyDescent="0.25">
      <c r="A24" s="22"/>
      <c r="B24" s="140" t="s">
        <v>65</v>
      </c>
      <c r="C24" s="123">
        <f>$E$4*C20/C21</f>
        <v>8.3333333333333339</v>
      </c>
      <c r="D24" s="123">
        <f t="shared" ref="D24:F24" si="1">$E$4*D20/D21</f>
        <v>16.666666666666668</v>
      </c>
      <c r="E24" s="123">
        <f t="shared" si="1"/>
        <v>8.3333333333333339</v>
      </c>
      <c r="F24" s="123">
        <f t="shared" si="1"/>
        <v>4.166666666666667</v>
      </c>
      <c r="G24" s="367"/>
      <c r="H24"/>
    </row>
    <row r="25" spans="1:9" s="378" customFormat="1" ht="18" customHeight="1" x14ac:dyDescent="0.3">
      <c r="A25" s="375"/>
      <c r="B25" s="438" t="s">
        <v>112</v>
      </c>
      <c r="C25" s="535">
        <f>ROUND((C24+D24+E24+F24) / (C22+D22+E22+F22),0)</f>
        <v>4</v>
      </c>
      <c r="D25" s="536"/>
      <c r="E25" s="536"/>
      <c r="F25" s="536"/>
      <c r="G25" s="376"/>
      <c r="H25" s="377"/>
    </row>
    <row r="26" spans="1:9" ht="12.75" hidden="1" customHeight="1" x14ac:dyDescent="0.25">
      <c r="A26" s="22"/>
      <c r="B26" s="379" t="s">
        <v>75</v>
      </c>
      <c r="C26" s="537">
        <v>0</v>
      </c>
      <c r="D26" s="537"/>
      <c r="E26" s="537"/>
      <c r="F26" s="537"/>
      <c r="G26" s="218"/>
    </row>
    <row r="27" spans="1:9" ht="12.75" customHeight="1" x14ac:dyDescent="0.25">
      <c r="A27" s="22"/>
      <c r="B27" s="217"/>
      <c r="C27" s="157"/>
      <c r="D27" s="161"/>
      <c r="E27" s="161"/>
      <c r="F27" s="161"/>
      <c r="G27" s="161"/>
    </row>
    <row r="28" spans="1:9" ht="18" customHeight="1" x14ac:dyDescent="0.25">
      <c r="A28" s="351"/>
      <c r="B28" s="351"/>
      <c r="C28" s="352" t="s">
        <v>114</v>
      </c>
      <c r="D28" s="353">
        <f>(C13*C10)+(D13*D10)+(E13*E10)+(F13*F10)</f>
        <v>195</v>
      </c>
      <c r="E28" s="354" t="s">
        <v>213</v>
      </c>
      <c r="F28" s="351"/>
      <c r="G28" s="351"/>
      <c r="H28" s="351"/>
      <c r="I28" s="351"/>
    </row>
    <row r="29" spans="1:9" ht="18" customHeight="1" x14ac:dyDescent="0.25">
      <c r="A29" s="351"/>
      <c r="B29" s="351"/>
      <c r="C29" s="352" t="s">
        <v>101</v>
      </c>
      <c r="D29" s="353">
        <f>(C13*C16)+(D13*D16)+(E13*E16)+(F13*F16)</f>
        <v>0</v>
      </c>
      <c r="E29" s="354" t="s">
        <v>3</v>
      </c>
      <c r="F29" s="351"/>
      <c r="G29" s="351"/>
      <c r="H29" s="351"/>
      <c r="I29" s="351"/>
    </row>
    <row r="30" spans="1:9" ht="18" customHeight="1" x14ac:dyDescent="0.3">
      <c r="A30" s="359"/>
      <c r="B30" s="359"/>
      <c r="C30" s="360" t="s">
        <v>97</v>
      </c>
      <c r="D30" s="361">
        <f>C23*C25</f>
        <v>20.16</v>
      </c>
      <c r="E30" s="362" t="s">
        <v>214</v>
      </c>
      <c r="F30" s="363"/>
      <c r="G30" s="359"/>
      <c r="H30" s="355"/>
      <c r="I30" s="355"/>
    </row>
    <row r="31" spans="1:9" ht="18" customHeight="1" x14ac:dyDescent="0.3">
      <c r="A31" s="359"/>
      <c r="B31" s="359"/>
      <c r="C31" s="360" t="s">
        <v>102</v>
      </c>
      <c r="D31" s="361">
        <f>C25*C26</f>
        <v>0</v>
      </c>
      <c r="E31" s="362" t="s">
        <v>3</v>
      </c>
      <c r="F31" s="363"/>
      <c r="G31" s="359"/>
      <c r="H31" s="355"/>
      <c r="I31" s="355"/>
    </row>
    <row r="32" spans="1:9" ht="18" customHeight="1" x14ac:dyDescent="0.25">
      <c r="A32" s="39"/>
      <c r="B32" s="39"/>
      <c r="C32" s="69" t="s">
        <v>94</v>
      </c>
      <c r="D32" s="70">
        <f>ROUNDUP(D28/25,0)</f>
        <v>8</v>
      </c>
      <c r="E32" s="294" t="s">
        <v>169</v>
      </c>
      <c r="F32" s="40"/>
      <c r="G32" s="39"/>
      <c r="H32" s="35"/>
      <c r="I32" s="35"/>
    </row>
    <row r="33" spans="1:14" ht="12.75" customHeight="1" x14ac:dyDescent="0.25">
      <c r="A33" s="39"/>
      <c r="B33" s="498" t="s">
        <v>8</v>
      </c>
      <c r="C33" s="498"/>
      <c r="D33" s="498"/>
      <c r="E33" s="498"/>
      <c r="F33" s="498"/>
      <c r="G33" s="498"/>
      <c r="H33" s="35"/>
      <c r="I33" s="35"/>
    </row>
    <row r="34" spans="1:14" ht="18" customHeight="1" x14ac:dyDescent="0.25">
      <c r="A34" s="351"/>
      <c r="B34" s="351"/>
      <c r="C34" s="352" t="s">
        <v>95</v>
      </c>
      <c r="D34" s="353">
        <f>SUM(D29+D31)</f>
        <v>0</v>
      </c>
      <c r="E34" s="354" t="s">
        <v>3</v>
      </c>
      <c r="F34" s="351"/>
      <c r="G34" s="351"/>
      <c r="H34" s="351"/>
      <c r="I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55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54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56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StG9t9eqpl4UvlJnEuOt9RVfMaLk+fsl2opiphfn6rgdO+k68WhaXRRF17PFGG+GHfTARWyFjJYHaUL8/X09CA==" saltValue="glkKcipcpLbY5afa0kX39A==" spinCount="100000" sheet="1" selectLockedCells="1"/>
  <mergeCells count="8">
    <mergeCell ref="H14:I19"/>
    <mergeCell ref="A1:I1"/>
    <mergeCell ref="B33:G33"/>
    <mergeCell ref="C23:F23"/>
    <mergeCell ref="C25:F25"/>
    <mergeCell ref="C26:F26"/>
    <mergeCell ref="C12:F12"/>
    <mergeCell ref="C14:F14"/>
  </mergeCells>
  <conditionalFormatting sqref="C12:F12">
    <cfRule type="cellIs" dxfId="21" priority="6" operator="lessThan">
      <formula>0</formula>
    </cfRule>
    <cfRule type="cellIs" dxfId="20" priority="7" operator="greaterThan">
      <formula>0</formula>
    </cfRule>
  </conditionalFormatting>
  <conditionalFormatting sqref="C23:F23">
    <cfRule type="cellIs" dxfId="19" priority="1" operator="lessThan">
      <formula>5</formula>
    </cfRule>
    <cfRule type="cellIs" dxfId="18" priority="2" operator="greaterThan">
      <formula>5</formula>
    </cfRule>
  </conditionalFormatting>
  <dataValidations disablePrompts="1" count="2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1D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1D00-000001000000}">
      <formula1>0</formula1>
      <formula2>100</formula2>
    </dataValidation>
  </dataValidations>
  <hyperlinks>
    <hyperlink ref="H43" r:id="rId1" xr:uid="{00000000-0004-0000-1D00-000000000000}"/>
    <hyperlink ref="H41" r:id="rId2" xr:uid="{00000000-0004-0000-1D00-000001000000}"/>
    <hyperlink ref="H44" r:id="rId3" xr:uid="{00000000-0004-0000-1D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31" t="s">
        <v>220</v>
      </c>
      <c r="B1" s="531"/>
      <c r="C1" s="531"/>
      <c r="D1" s="531"/>
      <c r="E1" s="531"/>
      <c r="F1" s="531"/>
      <c r="G1" s="531"/>
      <c r="H1" s="531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76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215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99</v>
      </c>
      <c r="C8" s="101" t="s">
        <v>30</v>
      </c>
      <c r="D8" s="102" t="s">
        <v>31</v>
      </c>
      <c r="E8" s="102" t="s">
        <v>219</v>
      </c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0.2</v>
      </c>
      <c r="D9" s="89">
        <v>0.5</v>
      </c>
      <c r="E9" s="89">
        <v>0.3</v>
      </c>
      <c r="F9"/>
      <c r="G9" s="74">
        <f>SUM(C9,D9,E9,F9)</f>
        <v>1</v>
      </c>
      <c r="H9" s="229"/>
    </row>
    <row r="10" spans="1:9" ht="12.75" customHeight="1" x14ac:dyDescent="0.25">
      <c r="A10" s="22"/>
      <c r="B10" s="51" t="s">
        <v>66</v>
      </c>
      <c r="C10" s="104">
        <v>0.45</v>
      </c>
      <c r="D10" s="105">
        <v>1.19</v>
      </c>
      <c r="E10" s="105">
        <v>1.33</v>
      </c>
      <c r="F10"/>
      <c r="G10" s="240"/>
      <c r="H10" s="203"/>
    </row>
    <row r="11" spans="1:9" ht="12.75" customHeight="1" thickBot="1" x14ac:dyDescent="0.3">
      <c r="A11" s="22"/>
      <c r="B11" s="394" t="s">
        <v>175</v>
      </c>
      <c r="C11" s="437">
        <v>3</v>
      </c>
      <c r="D11" s="395">
        <f t="shared" ref="D11:E11" si="0">ROUND(5*D9/D10,0)</f>
        <v>2</v>
      </c>
      <c r="E11" s="395">
        <f t="shared" si="0"/>
        <v>1</v>
      </c>
      <c r="F11"/>
      <c r="G11" s="501" t="s">
        <v>283</v>
      </c>
      <c r="H11" s="501"/>
      <c r="I11"/>
    </row>
    <row r="12" spans="1:9" ht="12.75" hidden="1" customHeight="1" thickBot="1" x14ac:dyDescent="0.3">
      <c r="A12" s="22"/>
      <c r="B12" s="51" t="s">
        <v>237</v>
      </c>
      <c r="C12" s="547">
        <f>((C11*C10)+(D11*D10)+(E11*E10))</f>
        <v>5.0600000000000005</v>
      </c>
      <c r="D12" s="548"/>
      <c r="E12" s="549"/>
      <c r="F12"/>
      <c r="G12" s="501"/>
      <c r="H12" s="501"/>
      <c r="I12"/>
    </row>
    <row r="13" spans="1:9" ht="18" customHeight="1" x14ac:dyDescent="0.25">
      <c r="A13" s="22"/>
      <c r="B13" s="140" t="s">
        <v>65</v>
      </c>
      <c r="C13" s="123">
        <f>$E$6*C9/C10</f>
        <v>86.666666666666671</v>
      </c>
      <c r="D13" s="123">
        <f t="shared" ref="D13:E13" si="1">$E$6*D9/D10</f>
        <v>81.932773109243698</v>
      </c>
      <c r="E13" s="123">
        <f t="shared" si="1"/>
        <v>43.984962406015036</v>
      </c>
      <c r="F13"/>
      <c r="G13" s="501"/>
      <c r="H13" s="501"/>
    </row>
    <row r="14" spans="1:9" ht="18" customHeight="1" x14ac:dyDescent="0.25">
      <c r="A14" s="22"/>
      <c r="B14" s="438" t="s">
        <v>112</v>
      </c>
      <c r="C14" s="550">
        <f>ROUND((C13+D13+E13) / (C11+D11+E11),0)</f>
        <v>35</v>
      </c>
      <c r="D14" s="550"/>
      <c r="E14" s="535"/>
      <c r="F14"/>
      <c r="G14" s="501"/>
      <c r="H14" s="501"/>
    </row>
    <row r="15" spans="1:9" ht="12.75" hidden="1" customHeight="1" x14ac:dyDescent="0.25">
      <c r="A15" s="22"/>
      <c r="B15" s="143" t="s">
        <v>70</v>
      </c>
      <c r="C15" s="78">
        <f>C12*C16</f>
        <v>0</v>
      </c>
      <c r="D15" s="78">
        <f>D12*D16</f>
        <v>0</v>
      </c>
      <c r="E15" s="78">
        <f>E12*E16</f>
        <v>0</v>
      </c>
      <c r="F15"/>
      <c r="G15" s="501"/>
      <c r="H15" s="501"/>
    </row>
    <row r="16" spans="1:9" ht="12.75" hidden="1" customHeight="1" x14ac:dyDescent="0.25">
      <c r="A16" s="22"/>
      <c r="B16" s="217" t="s">
        <v>69</v>
      </c>
      <c r="C16" s="236">
        <v>0</v>
      </c>
      <c r="D16" s="236">
        <v>0</v>
      </c>
      <c r="E16" s="236">
        <v>0</v>
      </c>
      <c r="F16"/>
      <c r="G16" s="501"/>
      <c r="H16" s="501"/>
    </row>
    <row r="17" spans="1:8" ht="12.75" hidden="1" customHeight="1" x14ac:dyDescent="0.25">
      <c r="A17" s="22"/>
      <c r="B17" s="219" t="s">
        <v>71</v>
      </c>
      <c r="C17" s="78">
        <f>+C13*C10</f>
        <v>39</v>
      </c>
      <c r="D17" s="78">
        <f>+D13*D10</f>
        <v>97.5</v>
      </c>
      <c r="E17" s="78">
        <f>+E13*E10</f>
        <v>58.5</v>
      </c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 s="218"/>
      <c r="F18"/>
      <c r="G18" s="240"/>
      <c r="H18" s="203"/>
    </row>
    <row r="19" spans="1:8" ht="18" customHeight="1" thickBot="1" x14ac:dyDescent="0.3">
      <c r="A19" s="22"/>
      <c r="B19" s="371" t="s">
        <v>98</v>
      </c>
      <c r="C19" s="101" t="s">
        <v>30</v>
      </c>
      <c r="D19" s="102" t="s">
        <v>31</v>
      </c>
      <c r="E19" s="102" t="s">
        <v>219</v>
      </c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0.2</v>
      </c>
      <c r="D20" s="366">
        <v>0.5</v>
      </c>
      <c r="E20" s="366">
        <v>0.3</v>
      </c>
      <c r="F20"/>
      <c r="G20" s="74">
        <f>SUM(C20,D20,E20,F20)</f>
        <v>1</v>
      </c>
      <c r="H20"/>
    </row>
    <row r="21" spans="1:8" ht="12.75" customHeight="1" x14ac:dyDescent="0.25">
      <c r="A21" s="22"/>
      <c r="B21" s="372" t="s">
        <v>218</v>
      </c>
      <c r="C21" s="373">
        <v>0.22</v>
      </c>
      <c r="D21" s="374">
        <v>0.45</v>
      </c>
      <c r="E21" s="374">
        <v>0.67</v>
      </c>
      <c r="F21"/>
      <c r="G21" s="367"/>
      <c r="H21"/>
    </row>
    <row r="22" spans="1:8" ht="12.75" customHeight="1" thickBot="1" x14ac:dyDescent="0.3">
      <c r="A22" s="22"/>
      <c r="B22" s="372" t="s">
        <v>175</v>
      </c>
      <c r="C22" s="383">
        <f>ROUND(5*C20/C21,0)</f>
        <v>5</v>
      </c>
      <c r="D22" s="384">
        <f>ROUND(5*D20/D21,0)</f>
        <v>6</v>
      </c>
      <c r="E22" s="384">
        <f>ROUND(5*E20/E21,0)</f>
        <v>2</v>
      </c>
      <c r="F22"/>
      <c r="G22" s="367"/>
      <c r="H22"/>
    </row>
    <row r="23" spans="1:8" ht="12.75" hidden="1" customHeight="1" thickBot="1" x14ac:dyDescent="0.3">
      <c r="A23" s="22"/>
      <c r="B23" s="49" t="s">
        <v>237</v>
      </c>
      <c r="C23" s="541">
        <f>((C22*C21)+(D22*D21)+(E22*E21))</f>
        <v>5.1400000000000006</v>
      </c>
      <c r="D23" s="542"/>
      <c r="E23" s="542"/>
      <c r="F23"/>
      <c r="G23" s="367"/>
      <c r="H23"/>
    </row>
    <row r="24" spans="1:8" ht="12.75" customHeight="1" x14ac:dyDescent="0.25">
      <c r="A24" s="22"/>
      <c r="B24" s="140" t="s">
        <v>65</v>
      </c>
      <c r="C24" s="440">
        <f>$E$4*C20/C21</f>
        <v>18.181818181818183</v>
      </c>
      <c r="D24" s="441">
        <f t="shared" ref="D24:E24" si="2">$E$4*D20/D21</f>
        <v>22.222222222222221</v>
      </c>
      <c r="E24" s="441">
        <f t="shared" si="2"/>
        <v>8.9552238805970141</v>
      </c>
      <c r="F24"/>
      <c r="G24" s="367"/>
      <c r="H24"/>
    </row>
    <row r="25" spans="1:8" s="378" customFormat="1" ht="18" customHeight="1" x14ac:dyDescent="0.3">
      <c r="A25" s="375"/>
      <c r="B25" s="438" t="s">
        <v>112</v>
      </c>
      <c r="C25" s="543">
        <f>ROUND((C24+D24+E24) / (C22+D22+E22),0)</f>
        <v>4</v>
      </c>
      <c r="D25" s="544"/>
      <c r="E25" s="545"/>
      <c r="F25"/>
      <c r="G25" s="376"/>
      <c r="H25" s="377"/>
    </row>
    <row r="26" spans="1:8" ht="12.75" hidden="1" customHeight="1" x14ac:dyDescent="0.25">
      <c r="A26" s="22"/>
      <c r="B26" s="379" t="s">
        <v>75</v>
      </c>
      <c r="C26" s="546">
        <v>0</v>
      </c>
      <c r="D26" s="546"/>
      <c r="E26" s="546"/>
      <c r="F26" s="381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114</v>
      </c>
      <c r="D28" s="353">
        <f>(C13*C10)+(D13*D10)+(E13*E10)+(F13*F10)</f>
        <v>195</v>
      </c>
      <c r="E28" s="354" t="s">
        <v>213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101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97</v>
      </c>
      <c r="D30" s="361">
        <f>C23*C25</f>
        <v>20.560000000000002</v>
      </c>
      <c r="E30" s="362" t="s">
        <v>214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102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94</v>
      </c>
      <c r="D32" s="70">
        <f>ROUNDUP(D28/25,0)</f>
        <v>8</v>
      </c>
      <c r="E32" s="294" t="s">
        <v>169</v>
      </c>
      <c r="F32" s="40"/>
      <c r="G32" s="39"/>
      <c r="H32" s="35"/>
    </row>
    <row r="33" spans="1:14" ht="12.75" customHeight="1" x14ac:dyDescent="0.25">
      <c r="A33" s="39"/>
      <c r="B33" s="498" t="s">
        <v>8</v>
      </c>
      <c r="C33" s="498"/>
      <c r="D33" s="498"/>
      <c r="E33" s="498"/>
      <c r="F33" s="498"/>
      <c r="G33" s="498"/>
      <c r="H33" s="35"/>
    </row>
    <row r="34" spans="1:14" ht="18" customHeight="1" x14ac:dyDescent="0.25">
      <c r="A34" s="351"/>
      <c r="B34" s="351"/>
      <c r="C34" s="352" t="s">
        <v>95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55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54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56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9MwP8alhDAQ+dz8CiMMGvRTSn6Z5JR6k/EU3352kbrNAcw9aUel4RhYi/KMhuZIxbyGEcXdY62y0LjwcVewfxg==" saltValue="D8cAYATS+IdHiONndFbUJA==" spinCount="100000" sheet="1" selectLockedCells="1"/>
  <mergeCells count="8">
    <mergeCell ref="A1:H1"/>
    <mergeCell ref="B33:G33"/>
    <mergeCell ref="C23:E23"/>
    <mergeCell ref="C25:E25"/>
    <mergeCell ref="C26:E26"/>
    <mergeCell ref="C12:E12"/>
    <mergeCell ref="C14:E14"/>
    <mergeCell ref="G11:H16"/>
  </mergeCells>
  <conditionalFormatting sqref="C12:E12">
    <cfRule type="cellIs" dxfId="17" priority="3" operator="lessThan">
      <formula>5</formula>
    </cfRule>
    <cfRule type="cellIs" dxfId="16" priority="4" operator="greaterThan">
      <formula>5</formula>
    </cfRule>
  </conditionalFormatting>
  <conditionalFormatting sqref="C23">
    <cfRule type="cellIs" dxfId="15" priority="1" operator="lessThan">
      <formula>5</formula>
    </cfRule>
    <cfRule type="cellIs" dxfId="14" priority="2" operator="greaterThan">
      <formula>5</formula>
    </cfRule>
  </conditionalFormatting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1E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1E00-000001000000}">
      <formula1>0</formula1>
      <formula2>100</formula2>
    </dataValidation>
  </dataValidations>
  <hyperlinks>
    <hyperlink ref="H43" r:id="rId1" xr:uid="{00000000-0004-0000-1E00-000000000000}"/>
    <hyperlink ref="H41" r:id="rId2" xr:uid="{00000000-0004-0000-1E00-000001000000}"/>
    <hyperlink ref="H44" r:id="rId3" xr:uid="{00000000-0004-0000-1E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>
    <tabColor rgb="FF7030A0"/>
  </sheetPr>
  <dimension ref="A1:N54"/>
  <sheetViews>
    <sheetView showGridLines="0" showRowColHeaders="0" topLeftCell="A18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31" t="s">
        <v>221</v>
      </c>
      <c r="B1" s="531"/>
      <c r="C1" s="531"/>
      <c r="D1" s="531"/>
      <c r="E1" s="531"/>
      <c r="F1" s="531"/>
      <c r="G1" s="531"/>
      <c r="H1" s="531"/>
      <c r="I1" s="531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76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215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99</v>
      </c>
      <c r="C8" s="101" t="s">
        <v>19</v>
      </c>
      <c r="D8" s="102" t="s">
        <v>20</v>
      </c>
      <c r="E8" s="102" t="s">
        <v>21</v>
      </c>
      <c r="F8" s="259" t="s">
        <v>22</v>
      </c>
      <c r="G8" s="239"/>
      <c r="H8" s="229"/>
    </row>
    <row r="9" spans="1:9" ht="18" customHeight="1" thickTop="1" x14ac:dyDescent="0.25">
      <c r="A9" s="22"/>
      <c r="B9" s="103" t="s">
        <v>11</v>
      </c>
      <c r="C9" s="88">
        <v>0.2</v>
      </c>
      <c r="D9" s="89">
        <v>0.2</v>
      </c>
      <c r="E9" s="89">
        <v>0.4</v>
      </c>
      <c r="F9" s="152">
        <v>0.2</v>
      </c>
      <c r="G9" s="74">
        <f>SUM(C9,D9,E9,F9)</f>
        <v>1</v>
      </c>
      <c r="H9" s="229"/>
    </row>
    <row r="10" spans="1:9" ht="12.75" customHeight="1" x14ac:dyDescent="0.25">
      <c r="A10" s="22"/>
      <c r="B10" s="51" t="s">
        <v>66</v>
      </c>
      <c r="C10" s="104">
        <v>0.48</v>
      </c>
      <c r="D10" s="105">
        <v>0.72</v>
      </c>
      <c r="E10" s="105">
        <v>0.96</v>
      </c>
      <c r="F10" s="242">
        <v>1.45</v>
      </c>
      <c r="G10" s="240"/>
      <c r="H10" s="203"/>
    </row>
    <row r="11" spans="1:9" ht="12.75" customHeight="1" thickBot="1" x14ac:dyDescent="0.3">
      <c r="A11" s="22"/>
      <c r="B11" s="49" t="s">
        <v>175</v>
      </c>
      <c r="C11" s="443">
        <f>ROUNDUP(5*C9/C10,0)</f>
        <v>3</v>
      </c>
      <c r="D11" s="396">
        <f t="shared" ref="D11:F11" si="0">ROUND(5*D9/D10,0)</f>
        <v>1</v>
      </c>
      <c r="E11" s="396">
        <f t="shared" si="0"/>
        <v>2</v>
      </c>
      <c r="F11" s="396">
        <f t="shared" si="0"/>
        <v>1</v>
      </c>
      <c r="G11" s="155"/>
      <c r="H11" s="501" t="s">
        <v>283</v>
      </c>
      <c r="I11" s="501"/>
    </row>
    <row r="12" spans="1:9" ht="12.75" hidden="1" customHeight="1" thickBot="1" x14ac:dyDescent="0.3">
      <c r="A12" s="22"/>
      <c r="B12" s="444" t="s">
        <v>237</v>
      </c>
      <c r="C12" s="548">
        <f>((C11*C10)+(D11*D10)+(E11*E10)+(F10*F11))</f>
        <v>5.53</v>
      </c>
      <c r="D12" s="548"/>
      <c r="E12" s="548"/>
      <c r="F12" s="549"/>
      <c r="G12" s="155"/>
      <c r="H12" s="501"/>
      <c r="I12" s="501"/>
    </row>
    <row r="13" spans="1:9" ht="18" customHeight="1" thickBot="1" x14ac:dyDescent="0.3">
      <c r="A13" s="22"/>
      <c r="B13" s="140" t="s">
        <v>65</v>
      </c>
      <c r="C13" s="447">
        <f>$E$6*C9/C10</f>
        <v>81.25</v>
      </c>
      <c r="D13" s="447">
        <f t="shared" ref="D13:F13" si="1">$E$6*D9/D10</f>
        <v>54.166666666666671</v>
      </c>
      <c r="E13" s="447">
        <f t="shared" si="1"/>
        <v>81.25</v>
      </c>
      <c r="F13" s="447">
        <f t="shared" si="1"/>
        <v>26.896551724137932</v>
      </c>
      <c r="G13" s="260"/>
      <c r="H13" s="501"/>
      <c r="I13" s="501"/>
    </row>
    <row r="14" spans="1:9" ht="18" customHeight="1" x14ac:dyDescent="0.25">
      <c r="A14" s="22"/>
      <c r="B14" s="140" t="s">
        <v>112</v>
      </c>
      <c r="C14" s="554">
        <f>ROUND((C13+D13+E13+F13)/(C11+D11+E11+F11),0)</f>
        <v>35</v>
      </c>
      <c r="D14" s="550"/>
      <c r="E14" s="550"/>
      <c r="F14" s="555"/>
      <c r="G14" s="260"/>
      <c r="H14" s="501"/>
      <c r="I14" s="501"/>
    </row>
    <row r="15" spans="1:9" ht="12.75" hidden="1" customHeight="1" x14ac:dyDescent="0.25">
      <c r="A15" s="22"/>
      <c r="B15" s="143" t="s">
        <v>70</v>
      </c>
      <c r="C15" s="78">
        <f>C12*C16</f>
        <v>0</v>
      </c>
      <c r="D15" s="78">
        <f>D12*D16</f>
        <v>0</v>
      </c>
      <c r="E15" s="78">
        <f>E12*E16</f>
        <v>0</v>
      </c>
      <c r="F15" s="78">
        <f>F12*F16</f>
        <v>0</v>
      </c>
      <c r="G15" s="240"/>
      <c r="H15" s="501"/>
      <c r="I15" s="501"/>
    </row>
    <row r="16" spans="1:9" ht="12.75" hidden="1" customHeight="1" x14ac:dyDescent="0.25">
      <c r="A16" s="22"/>
      <c r="B16" s="217" t="s">
        <v>69</v>
      </c>
      <c r="C16" s="236">
        <v>0</v>
      </c>
      <c r="D16" s="236">
        <v>0</v>
      </c>
      <c r="E16" s="236">
        <v>0</v>
      </c>
      <c r="F16" s="236">
        <v>0</v>
      </c>
      <c r="G16" s="240"/>
      <c r="H16" s="501"/>
      <c r="I16" s="501"/>
    </row>
    <row r="17" spans="1:9" ht="12.75" hidden="1" customHeight="1" x14ac:dyDescent="0.25">
      <c r="A17" s="22"/>
      <c r="B17" s="219" t="s">
        <v>71</v>
      </c>
      <c r="C17" s="78">
        <f>+C13*C10</f>
        <v>39</v>
      </c>
      <c r="D17" s="78">
        <f>+D13*D10</f>
        <v>39</v>
      </c>
      <c r="E17" s="78">
        <f>+E13*E10</f>
        <v>78</v>
      </c>
      <c r="F17" s="78">
        <f>+F13*F10</f>
        <v>39</v>
      </c>
      <c r="G17" s="240"/>
      <c r="H17" s="203"/>
    </row>
    <row r="18" spans="1:9" ht="12.75" customHeight="1" x14ac:dyDescent="0.25">
      <c r="A18" s="22"/>
      <c r="B18" s="262"/>
      <c r="C18" s="218"/>
      <c r="D18" s="218"/>
      <c r="E18" s="218"/>
      <c r="F18" s="218"/>
      <c r="G18" s="240"/>
      <c r="H18" s="203"/>
    </row>
    <row r="19" spans="1:9" ht="18" customHeight="1" thickBot="1" x14ac:dyDescent="0.3">
      <c r="A19" s="22"/>
      <c r="B19" s="371" t="s">
        <v>98</v>
      </c>
      <c r="C19" s="101" t="s">
        <v>19</v>
      </c>
      <c r="D19" s="102" t="s">
        <v>20</v>
      </c>
      <c r="E19" s="102" t="s">
        <v>21</v>
      </c>
      <c r="F19" s="259" t="s">
        <v>22</v>
      </c>
      <c r="G19" s="367"/>
      <c r="H19"/>
    </row>
    <row r="20" spans="1:9" ht="18" customHeight="1" thickTop="1" x14ac:dyDescent="0.25">
      <c r="A20" s="22"/>
      <c r="B20" s="368" t="s">
        <v>11</v>
      </c>
      <c r="C20" s="365">
        <v>0.2</v>
      </c>
      <c r="D20" s="366">
        <v>0.2</v>
      </c>
      <c r="E20" s="366">
        <v>0.4</v>
      </c>
      <c r="F20" s="366">
        <v>0.2</v>
      </c>
      <c r="G20" s="74">
        <f>SUM(C20,D20,E20,F20)</f>
        <v>1</v>
      </c>
      <c r="H20"/>
    </row>
    <row r="21" spans="1:9" ht="12.75" customHeight="1" x14ac:dyDescent="0.25">
      <c r="A21" s="22"/>
      <c r="B21" s="372" t="s">
        <v>218</v>
      </c>
      <c r="C21" s="373">
        <v>0.24</v>
      </c>
      <c r="D21" s="374">
        <v>0.36</v>
      </c>
      <c r="E21" s="374">
        <v>0.48</v>
      </c>
      <c r="F21" s="374">
        <v>0.72</v>
      </c>
      <c r="G21" s="367"/>
      <c r="H21"/>
    </row>
    <row r="22" spans="1:9" ht="12.75" customHeight="1" thickBot="1" x14ac:dyDescent="0.3">
      <c r="A22" s="22"/>
      <c r="B22" s="372" t="s">
        <v>175</v>
      </c>
      <c r="C22" s="383">
        <f>ROUND(5*C20/C21,0)</f>
        <v>4</v>
      </c>
      <c r="D22" s="384">
        <f>ROUND(5*D20/D21,0)</f>
        <v>3</v>
      </c>
      <c r="E22" s="430">
        <v>5</v>
      </c>
      <c r="F22" s="384">
        <f>ROUND(5*F20/F21,0)</f>
        <v>1</v>
      </c>
      <c r="G22" s="367"/>
      <c r="H22"/>
    </row>
    <row r="23" spans="1:9" ht="12.75" hidden="1" customHeight="1" thickBot="1" x14ac:dyDescent="0.3">
      <c r="A23" s="22"/>
      <c r="B23" s="51" t="s">
        <v>237</v>
      </c>
      <c r="C23" s="547">
        <f>((C22*C21)+(D22*D21)+(E22*E21)+(F21*F22))</f>
        <v>5.1599999999999993</v>
      </c>
      <c r="D23" s="548"/>
      <c r="E23" s="548"/>
      <c r="F23" s="549"/>
      <c r="G23" s="367"/>
      <c r="H23"/>
    </row>
    <row r="24" spans="1:9" ht="12.75" customHeight="1" x14ac:dyDescent="0.25">
      <c r="A24" s="22"/>
      <c r="B24" s="439" t="s">
        <v>65</v>
      </c>
      <c r="C24" s="436">
        <f>$E$4*C20/C21</f>
        <v>16.666666666666668</v>
      </c>
      <c r="D24" s="435">
        <f t="shared" ref="D24:F24" si="2">$E$4*D20/D21</f>
        <v>11.111111111111111</v>
      </c>
      <c r="E24" s="435">
        <f t="shared" si="2"/>
        <v>16.666666666666668</v>
      </c>
      <c r="F24" s="435">
        <f t="shared" si="2"/>
        <v>5.5555555555555554</v>
      </c>
      <c r="G24" s="367"/>
      <c r="H24"/>
    </row>
    <row r="25" spans="1:9" s="378" customFormat="1" ht="18" customHeight="1" x14ac:dyDescent="0.3">
      <c r="A25" s="375"/>
      <c r="B25" s="380" t="s">
        <v>112</v>
      </c>
      <c r="C25" s="551">
        <f>ROUND((C24+D24+E24+F24) / (C22+D22+E22+F22),0)</f>
        <v>4</v>
      </c>
      <c r="D25" s="552"/>
      <c r="E25" s="552"/>
      <c r="F25" s="553"/>
      <c r="G25" s="376"/>
      <c r="H25" s="377"/>
    </row>
    <row r="26" spans="1:9" ht="12.75" hidden="1" customHeight="1" x14ac:dyDescent="0.25">
      <c r="A26" s="22"/>
      <c r="B26" s="379" t="s">
        <v>75</v>
      </c>
      <c r="C26" s="537">
        <v>0</v>
      </c>
      <c r="D26" s="537"/>
      <c r="E26" s="537"/>
      <c r="F26" s="537"/>
      <c r="G26" s="218"/>
    </row>
    <row r="27" spans="1:9" ht="12.75" customHeight="1" x14ac:dyDescent="0.25">
      <c r="A27" s="22"/>
      <c r="B27" s="217"/>
      <c r="C27" s="157"/>
      <c r="D27" s="161"/>
      <c r="E27" s="161"/>
      <c r="F27" s="161"/>
      <c r="G27" s="161"/>
    </row>
    <row r="28" spans="1:9" ht="18" customHeight="1" x14ac:dyDescent="0.25">
      <c r="A28" s="351"/>
      <c r="B28" s="351"/>
      <c r="C28" s="352" t="s">
        <v>114</v>
      </c>
      <c r="D28" s="353">
        <f>(C13*C10)+(D13*D10)+(E13*E10)+(F13*F10)</f>
        <v>195</v>
      </c>
      <c r="E28" s="354" t="s">
        <v>213</v>
      </c>
      <c r="F28" s="351"/>
      <c r="G28" s="351"/>
      <c r="H28" s="351"/>
      <c r="I28" s="351"/>
    </row>
    <row r="29" spans="1:9" ht="18" customHeight="1" x14ac:dyDescent="0.25">
      <c r="A29" s="351"/>
      <c r="B29" s="351"/>
      <c r="C29" s="352" t="s">
        <v>101</v>
      </c>
      <c r="D29" s="353">
        <f>(C13*C16)+(D13*D16)+(E13*E16)+(F13*F16)</f>
        <v>0</v>
      </c>
      <c r="E29" s="354" t="s">
        <v>3</v>
      </c>
      <c r="F29" s="351"/>
      <c r="G29" s="351"/>
      <c r="H29" s="351"/>
      <c r="I29" s="351"/>
    </row>
    <row r="30" spans="1:9" ht="18" customHeight="1" x14ac:dyDescent="0.3">
      <c r="A30" s="359"/>
      <c r="B30" s="359"/>
      <c r="C30" s="360" t="s">
        <v>97</v>
      </c>
      <c r="D30" s="361">
        <f>C23*C25</f>
        <v>20.639999999999997</v>
      </c>
      <c r="E30" s="362" t="s">
        <v>214</v>
      </c>
      <c r="F30" s="363"/>
      <c r="G30" s="359"/>
      <c r="H30" s="355"/>
      <c r="I30" s="355"/>
    </row>
    <row r="31" spans="1:9" ht="18" customHeight="1" x14ac:dyDescent="0.3">
      <c r="A31" s="359"/>
      <c r="B31" s="359"/>
      <c r="C31" s="360" t="s">
        <v>102</v>
      </c>
      <c r="D31" s="361">
        <f>C25*C26</f>
        <v>0</v>
      </c>
      <c r="E31" s="362" t="s">
        <v>3</v>
      </c>
      <c r="F31" s="363"/>
      <c r="G31" s="359"/>
      <c r="H31" s="355"/>
      <c r="I31" s="355"/>
    </row>
    <row r="32" spans="1:9" ht="18" customHeight="1" x14ac:dyDescent="0.25">
      <c r="A32" s="39"/>
      <c r="B32" s="39"/>
      <c r="C32" s="69" t="s">
        <v>94</v>
      </c>
      <c r="D32" s="70">
        <f>ROUNDUP(D28/25,0)</f>
        <v>8</v>
      </c>
      <c r="E32" s="294" t="s">
        <v>169</v>
      </c>
      <c r="F32" s="40"/>
      <c r="G32" s="39"/>
      <c r="H32" s="35"/>
      <c r="I32" s="35"/>
    </row>
    <row r="33" spans="1:14" ht="12.75" customHeight="1" x14ac:dyDescent="0.25">
      <c r="A33" s="39"/>
      <c r="B33" s="498" t="s">
        <v>8</v>
      </c>
      <c r="C33" s="498"/>
      <c r="D33" s="498"/>
      <c r="E33" s="498"/>
      <c r="F33" s="498"/>
      <c r="G33" s="498"/>
      <c r="H33" s="35"/>
      <c r="I33" s="35"/>
    </row>
    <row r="34" spans="1:14" ht="18" customHeight="1" x14ac:dyDescent="0.25">
      <c r="A34" s="351"/>
      <c r="B34" s="351"/>
      <c r="C34" s="352" t="s">
        <v>95</v>
      </c>
      <c r="D34" s="353">
        <f>SUM(D29+D31)</f>
        <v>0</v>
      </c>
      <c r="E34" s="354" t="s">
        <v>3</v>
      </c>
      <c r="F34" s="351"/>
      <c r="G34" s="351"/>
      <c r="H34" s="351"/>
      <c r="I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55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54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56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ky26C7i7igdeFIJOB/S9DqjZFCib4NmgQObffUt/ABDH3VDGHEh1tz1wuxeRwOE4gRu7nTY6Jxdp1DGiu822pQ==" saltValue="4EKp6r/0IJnNe5oNqeYzDQ==" spinCount="100000" sheet="1" selectLockedCells="1"/>
  <mergeCells count="8">
    <mergeCell ref="H11:I16"/>
    <mergeCell ref="A1:I1"/>
    <mergeCell ref="B33:G33"/>
    <mergeCell ref="C23:F23"/>
    <mergeCell ref="C25:F25"/>
    <mergeCell ref="C26:F26"/>
    <mergeCell ref="C12:F12"/>
    <mergeCell ref="C14:F14"/>
  </mergeCells>
  <conditionalFormatting sqref="C12:F12">
    <cfRule type="cellIs" dxfId="13" priority="3" operator="greaterThan">
      <formula>5</formula>
    </cfRule>
    <cfRule type="cellIs" dxfId="12" priority="4" operator="lessThan">
      <formula>5</formula>
    </cfRule>
  </conditionalFormatting>
  <conditionalFormatting sqref="C23:F23">
    <cfRule type="cellIs" dxfId="11" priority="1" operator="greaterThan">
      <formula>5</formula>
    </cfRule>
    <cfRule type="cellIs" dxfId="10" priority="2" operator="lessThan">
      <formula>5</formula>
    </cfRule>
  </conditionalFormatting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1F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1F00-000001000000}">
      <formula1>0</formula1>
      <formula2>100</formula2>
    </dataValidation>
  </dataValidations>
  <hyperlinks>
    <hyperlink ref="H43" r:id="rId1" xr:uid="{00000000-0004-0000-1F00-000000000000}"/>
    <hyperlink ref="H41" r:id="rId2" xr:uid="{00000000-0004-0000-1F00-000001000000}"/>
    <hyperlink ref="H44" r:id="rId3" xr:uid="{00000000-0004-0000-1F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31" t="s">
        <v>222</v>
      </c>
      <c r="B1" s="531"/>
      <c r="C1" s="531"/>
      <c r="D1" s="531"/>
      <c r="E1" s="531"/>
      <c r="F1" s="531"/>
      <c r="G1" s="531"/>
      <c r="H1" s="531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76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215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99</v>
      </c>
      <c r="C8" s="101" t="s">
        <v>51</v>
      </c>
      <c r="D8" s="102" t="s">
        <v>52</v>
      </c>
      <c r="E8" s="102" t="s">
        <v>53</v>
      </c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0.22</v>
      </c>
      <c r="D9" s="89">
        <v>0.33</v>
      </c>
      <c r="E9" s="89">
        <v>0.45</v>
      </c>
      <c r="F9"/>
      <c r="G9" s="74">
        <f>SUM(C9,D9,E9,F9)</f>
        <v>1</v>
      </c>
      <c r="H9" s="229"/>
    </row>
    <row r="10" spans="1:9" ht="12.75" customHeight="1" x14ac:dyDescent="0.25">
      <c r="A10" s="22"/>
      <c r="B10" s="51" t="s">
        <v>66</v>
      </c>
      <c r="C10" s="104">
        <v>0.45</v>
      </c>
      <c r="D10" s="105">
        <v>0.56999999999999995</v>
      </c>
      <c r="E10" s="105">
        <v>1.19</v>
      </c>
      <c r="F10"/>
      <c r="G10" s="240"/>
      <c r="H10" s="203"/>
    </row>
    <row r="11" spans="1:9" ht="12.75" customHeight="1" thickBot="1" x14ac:dyDescent="0.3">
      <c r="A11" s="22"/>
      <c r="B11" s="49" t="s">
        <v>175</v>
      </c>
      <c r="C11" s="443">
        <f>ROUNDUP(5*C9/C10,0)</f>
        <v>3</v>
      </c>
      <c r="D11" s="107">
        <f>ROUND(5*D9/D10,0)</f>
        <v>3</v>
      </c>
      <c r="E11" s="107">
        <f>ROUND(5*E9/E10,0)</f>
        <v>2</v>
      </c>
      <c r="F11"/>
      <c r="G11" s="501" t="s">
        <v>283</v>
      </c>
      <c r="H11" s="501"/>
      <c r="I11"/>
    </row>
    <row r="12" spans="1:9" ht="12.75" hidden="1" customHeight="1" thickBot="1" x14ac:dyDescent="0.3">
      <c r="A12" s="22"/>
      <c r="B12" s="444" t="s">
        <v>237</v>
      </c>
      <c r="C12" s="548">
        <f>((C11*C10)+(D11*D10)+(E11*E10))</f>
        <v>5.4399999999999995</v>
      </c>
      <c r="D12" s="548"/>
      <c r="E12" s="549"/>
      <c r="F12"/>
      <c r="G12" s="501"/>
      <c r="H12" s="501"/>
      <c r="I12"/>
    </row>
    <row r="13" spans="1:9" ht="18" customHeight="1" x14ac:dyDescent="0.25">
      <c r="A13" s="22"/>
      <c r="B13" s="140" t="s">
        <v>65</v>
      </c>
      <c r="C13" s="123">
        <f>$E$6*C9/C10</f>
        <v>95.333333333333329</v>
      </c>
      <c r="D13" s="123">
        <f t="shared" ref="D13:E13" si="0">$E$6*D9/D10</f>
        <v>112.89473684210529</v>
      </c>
      <c r="E13" s="123">
        <f t="shared" si="0"/>
        <v>73.739495798319325</v>
      </c>
      <c r="F13"/>
      <c r="G13" s="501"/>
      <c r="H13" s="501"/>
    </row>
    <row r="14" spans="1:9" ht="18" customHeight="1" x14ac:dyDescent="0.25">
      <c r="A14" s="22"/>
      <c r="B14" s="438" t="s">
        <v>112</v>
      </c>
      <c r="C14" s="550">
        <f>ROUND((C13+D13+E13)/(C11+D11+E11),0)</f>
        <v>35</v>
      </c>
      <c r="D14" s="550"/>
      <c r="E14" s="535"/>
      <c r="F14"/>
      <c r="G14" s="501"/>
      <c r="H14" s="501"/>
    </row>
    <row r="15" spans="1:9" ht="12.75" hidden="1" customHeight="1" x14ac:dyDescent="0.25">
      <c r="A15" s="22"/>
      <c r="B15" s="143" t="s">
        <v>70</v>
      </c>
      <c r="C15" s="78">
        <f>C12*C16</f>
        <v>0</v>
      </c>
      <c r="D15" s="78">
        <f>D12*D16</f>
        <v>0</v>
      </c>
      <c r="E15" s="78">
        <f>E12*E16</f>
        <v>0</v>
      </c>
      <c r="F15"/>
      <c r="G15" s="501"/>
      <c r="H15" s="501"/>
    </row>
    <row r="16" spans="1:9" ht="12.75" hidden="1" customHeight="1" x14ac:dyDescent="0.25">
      <c r="A16" s="22"/>
      <c r="B16" s="217" t="s">
        <v>69</v>
      </c>
      <c r="C16" s="236">
        <v>0</v>
      </c>
      <c r="D16" s="236">
        <v>0</v>
      </c>
      <c r="E16" s="236">
        <v>0</v>
      </c>
      <c r="F16"/>
      <c r="G16" s="501"/>
      <c r="H16" s="501"/>
    </row>
    <row r="17" spans="1:8" ht="12.75" hidden="1" customHeight="1" x14ac:dyDescent="0.25">
      <c r="A17" s="22"/>
      <c r="B17" s="219" t="s">
        <v>71</v>
      </c>
      <c r="C17" s="78">
        <f>+C13*C10</f>
        <v>42.9</v>
      </c>
      <c r="D17" s="78">
        <f>+D13*D10</f>
        <v>64.350000000000009</v>
      </c>
      <c r="E17" s="78">
        <f>+E13*E10</f>
        <v>87.75</v>
      </c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 s="218"/>
      <c r="F18"/>
      <c r="G18" s="240"/>
      <c r="H18" s="203"/>
    </row>
    <row r="19" spans="1:8" ht="18" customHeight="1" thickBot="1" x14ac:dyDescent="0.3">
      <c r="A19" s="22"/>
      <c r="B19" s="371" t="s">
        <v>98</v>
      </c>
      <c r="C19" s="101" t="s">
        <v>51</v>
      </c>
      <c r="D19" s="102" t="s">
        <v>52</v>
      </c>
      <c r="E19" s="102" t="s">
        <v>53</v>
      </c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0.22</v>
      </c>
      <c r="D20" s="366">
        <v>0.33</v>
      </c>
      <c r="E20" s="366">
        <v>0.45</v>
      </c>
      <c r="F20"/>
      <c r="G20" s="74">
        <f>SUM(C20,D20,E20,F20)</f>
        <v>1</v>
      </c>
      <c r="H20"/>
    </row>
    <row r="21" spans="1:8" ht="12.75" customHeight="1" x14ac:dyDescent="0.25">
      <c r="A21" s="22"/>
      <c r="B21" s="372" t="s">
        <v>218</v>
      </c>
      <c r="C21" s="373">
        <v>0.22</v>
      </c>
      <c r="D21" s="374">
        <v>0.33</v>
      </c>
      <c r="E21" s="374">
        <v>0.45</v>
      </c>
      <c r="F21"/>
      <c r="G21" s="367"/>
      <c r="H21"/>
    </row>
    <row r="22" spans="1:8" ht="12.75" customHeight="1" thickBot="1" x14ac:dyDescent="0.3">
      <c r="A22" s="22"/>
      <c r="B22" s="372" t="s">
        <v>175</v>
      </c>
      <c r="C22" s="383">
        <f>ROUND(5*C20/C21,0)</f>
        <v>5</v>
      </c>
      <c r="D22" s="384">
        <f>ROUND(5*D20/D21,0)</f>
        <v>5</v>
      </c>
      <c r="E22" s="384">
        <f>ROUND(5*E20/E21,0)</f>
        <v>5</v>
      </c>
      <c r="F22"/>
      <c r="G22" s="367"/>
      <c r="H22"/>
    </row>
    <row r="23" spans="1:8" ht="12.75" hidden="1" customHeight="1" thickBot="1" x14ac:dyDescent="0.3">
      <c r="A23" s="22"/>
      <c r="B23" s="444" t="s">
        <v>237</v>
      </c>
      <c r="C23" s="547">
        <f>((C22*C21)+(D22*D21)+(E22*E21))</f>
        <v>5</v>
      </c>
      <c r="D23" s="548"/>
      <c r="E23" s="549"/>
      <c r="F23"/>
      <c r="G23" s="367"/>
      <c r="H23"/>
    </row>
    <row r="24" spans="1:8" ht="12.75" customHeight="1" x14ac:dyDescent="0.25">
      <c r="A24" s="22"/>
      <c r="B24" s="140" t="s">
        <v>65</v>
      </c>
      <c r="C24" s="433">
        <f>$E$4*C20/C21</f>
        <v>20</v>
      </c>
      <c r="D24" s="434">
        <f t="shared" ref="D24:E24" si="1">$E$4*D20/D21</f>
        <v>20</v>
      </c>
      <c r="E24" s="435">
        <f t="shared" si="1"/>
        <v>20</v>
      </c>
      <c r="F24"/>
      <c r="G24" s="367"/>
      <c r="H24"/>
    </row>
    <row r="25" spans="1:8" s="378" customFormat="1" ht="18" customHeight="1" x14ac:dyDescent="0.3">
      <c r="A25" s="375"/>
      <c r="B25" s="380" t="s">
        <v>112</v>
      </c>
      <c r="C25" s="543">
        <f>ROUND((C24+D24+E24)/(C22+D22+E22),0)</f>
        <v>4</v>
      </c>
      <c r="D25" s="544"/>
      <c r="E25" s="545"/>
      <c r="F25"/>
      <c r="G25" s="376"/>
      <c r="H25" s="377"/>
    </row>
    <row r="26" spans="1:8" ht="12.75" hidden="1" customHeight="1" x14ac:dyDescent="0.25">
      <c r="A26" s="22"/>
      <c r="B26" s="379" t="s">
        <v>75</v>
      </c>
      <c r="C26" s="546">
        <v>0</v>
      </c>
      <c r="D26" s="546"/>
      <c r="E26" s="546"/>
      <c r="F26" s="381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114</v>
      </c>
      <c r="D28" s="353">
        <f>(C13*C10)+(D13*D10)+(E13*E10)+(F13*F10)</f>
        <v>195</v>
      </c>
      <c r="E28" s="354" t="s">
        <v>213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101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97</v>
      </c>
      <c r="D30" s="361">
        <f>C23*C25</f>
        <v>20</v>
      </c>
      <c r="E30" s="362" t="s">
        <v>214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102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94</v>
      </c>
      <c r="D32" s="70">
        <f>ROUNDUP(D28/25,0)</f>
        <v>8</v>
      </c>
      <c r="E32" s="294" t="s">
        <v>169</v>
      </c>
      <c r="F32" s="40"/>
      <c r="G32" s="39"/>
      <c r="H32" s="35"/>
    </row>
    <row r="33" spans="1:14" ht="12.75" customHeight="1" x14ac:dyDescent="0.25">
      <c r="A33" s="39"/>
      <c r="B33" s="498" t="s">
        <v>8</v>
      </c>
      <c r="C33" s="498"/>
      <c r="D33" s="498"/>
      <c r="E33" s="498"/>
      <c r="F33" s="498"/>
      <c r="G33" s="498"/>
      <c r="H33" s="35"/>
    </row>
    <row r="34" spans="1:14" ht="18" customHeight="1" x14ac:dyDescent="0.25">
      <c r="A34" s="351"/>
      <c r="B34" s="351"/>
      <c r="C34" s="352" t="s">
        <v>95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55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54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56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lonuiVBKcZoAIiQGPa2llv/t7xGJBSKfbnbSEfrNpN5GPItpAQNsPid+WRPreD07HzzGgOx1aWAh6a90qr8EsA==" saltValue="OQxbqizgzdZw1zJtz9o/XQ==" spinCount="100000" sheet="1" selectLockedCells="1"/>
  <mergeCells count="8">
    <mergeCell ref="B33:G33"/>
    <mergeCell ref="A1:H1"/>
    <mergeCell ref="C23:E23"/>
    <mergeCell ref="C25:E25"/>
    <mergeCell ref="C26:E26"/>
    <mergeCell ref="C12:E12"/>
    <mergeCell ref="C14:E14"/>
    <mergeCell ref="G11:H16"/>
  </mergeCells>
  <conditionalFormatting sqref="C12:E12 C23:E23">
    <cfRule type="cellIs" dxfId="9" priority="3" operator="greaterThan">
      <formula>5</formula>
    </cfRule>
    <cfRule type="cellIs" dxfId="8" priority="4" operator="lessThan">
      <formula>5</formula>
    </cfRule>
  </conditionalFormatting>
  <dataValidations disablePrompts="1" count="2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20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2000-000001000000}">
      <formula1>0</formula1>
      <formula2>100</formula2>
    </dataValidation>
  </dataValidations>
  <hyperlinks>
    <hyperlink ref="H43" r:id="rId1" xr:uid="{00000000-0004-0000-2000-000000000000}"/>
    <hyperlink ref="H41" r:id="rId2" xr:uid="{00000000-0004-0000-2000-000001000000}"/>
    <hyperlink ref="H44" r:id="rId3" xr:uid="{00000000-0004-0000-20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31" t="s">
        <v>223</v>
      </c>
      <c r="B1" s="531"/>
      <c r="C1" s="531"/>
      <c r="D1" s="531"/>
      <c r="E1" s="531"/>
      <c r="F1" s="531"/>
      <c r="G1" s="531"/>
      <c r="H1" s="531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76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215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99</v>
      </c>
      <c r="C8" s="101" t="s">
        <v>45</v>
      </c>
      <c r="D8" s="102" t="s">
        <v>46</v>
      </c>
      <c r="E8" s="102" t="s">
        <v>47</v>
      </c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0.25</v>
      </c>
      <c r="D9" s="89">
        <v>0.5</v>
      </c>
      <c r="E9" s="89">
        <v>0.25</v>
      </c>
      <c r="F9"/>
      <c r="G9" s="74">
        <f>SUM(C9,D9,E9,F9)</f>
        <v>1</v>
      </c>
      <c r="H9" s="229"/>
    </row>
    <row r="10" spans="1:9" ht="12.75" customHeight="1" x14ac:dyDescent="0.25">
      <c r="A10" s="22"/>
      <c r="B10" s="51" t="s">
        <v>66</v>
      </c>
      <c r="C10" s="104">
        <v>0.46</v>
      </c>
      <c r="D10" s="105">
        <v>0.94</v>
      </c>
      <c r="E10" s="105">
        <v>1.42</v>
      </c>
      <c r="F10"/>
      <c r="G10" s="240"/>
      <c r="H10" s="203"/>
    </row>
    <row r="11" spans="1:9" ht="12.75" customHeight="1" thickBot="1" x14ac:dyDescent="0.3">
      <c r="A11" s="22"/>
      <c r="B11" s="394" t="s">
        <v>175</v>
      </c>
      <c r="C11" s="397">
        <f>ROUND(5*C9/C10,0)</f>
        <v>3</v>
      </c>
      <c r="D11" s="398">
        <f>ROUND(5*D9/D10,0)</f>
        <v>3</v>
      </c>
      <c r="E11" s="398">
        <f>ROUND(5*E9/E10,0)</f>
        <v>1</v>
      </c>
      <c r="F11"/>
      <c r="G11" s="501" t="s">
        <v>283</v>
      </c>
      <c r="H11" s="501"/>
      <c r="I11"/>
    </row>
    <row r="12" spans="1:9" ht="12.75" hidden="1" customHeight="1" thickBot="1" x14ac:dyDescent="0.3">
      <c r="A12" s="22"/>
      <c r="B12" s="51" t="s">
        <v>237</v>
      </c>
      <c r="C12" s="556">
        <f>((C11*C10)+(D11*D10)+(E11*E10))</f>
        <v>5.62</v>
      </c>
      <c r="D12" s="557"/>
      <c r="E12" s="558"/>
      <c r="F12"/>
      <c r="G12" s="501"/>
      <c r="H12" s="501"/>
      <c r="I12"/>
    </row>
    <row r="13" spans="1:9" ht="18" customHeight="1" x14ac:dyDescent="0.25">
      <c r="A13" s="22"/>
      <c r="B13" s="140" t="s">
        <v>65</v>
      </c>
      <c r="C13" s="123">
        <f>$E$6*C9/C10</f>
        <v>105.97826086956522</v>
      </c>
      <c r="D13" s="123">
        <f t="shared" ref="D13:E13" si="0">$E$6*D9/D10</f>
        <v>103.72340425531915</v>
      </c>
      <c r="E13" s="123">
        <f t="shared" si="0"/>
        <v>34.33098591549296</v>
      </c>
      <c r="F13"/>
      <c r="G13" s="501"/>
      <c r="H13" s="501"/>
    </row>
    <row r="14" spans="1:9" ht="18" customHeight="1" x14ac:dyDescent="0.25">
      <c r="A14" s="22"/>
      <c r="B14" s="438" t="s">
        <v>112</v>
      </c>
      <c r="C14" s="550">
        <f>ROUND((C13+D13+E13) / (C11+D11+E11),0)</f>
        <v>35</v>
      </c>
      <c r="D14" s="550"/>
      <c r="E14" s="535"/>
      <c r="F14"/>
      <c r="G14" s="501"/>
      <c r="H14" s="501"/>
    </row>
    <row r="15" spans="1:9" ht="12.75" hidden="1" customHeight="1" x14ac:dyDescent="0.25">
      <c r="A15" s="22"/>
      <c r="B15" s="143" t="s">
        <v>70</v>
      </c>
      <c r="C15" s="78">
        <f>C12*C16</f>
        <v>0</v>
      </c>
      <c r="D15" s="78">
        <f>D12*D16</f>
        <v>0</v>
      </c>
      <c r="E15" s="78">
        <f>E12*E16</f>
        <v>0</v>
      </c>
      <c r="F15"/>
      <c r="G15" s="501"/>
      <c r="H15" s="501"/>
    </row>
    <row r="16" spans="1:9" ht="12.75" hidden="1" customHeight="1" x14ac:dyDescent="0.25">
      <c r="A16" s="22"/>
      <c r="B16" s="217" t="s">
        <v>69</v>
      </c>
      <c r="C16" s="236">
        <v>0</v>
      </c>
      <c r="D16" s="236">
        <v>0</v>
      </c>
      <c r="E16" s="236">
        <v>0</v>
      </c>
      <c r="F16"/>
      <c r="G16" s="501"/>
      <c r="H16" s="501"/>
    </row>
    <row r="17" spans="1:8" ht="12.75" hidden="1" customHeight="1" x14ac:dyDescent="0.25">
      <c r="A17" s="22"/>
      <c r="B17" s="219" t="s">
        <v>71</v>
      </c>
      <c r="C17" s="78">
        <f>+C13*C10</f>
        <v>48.75</v>
      </c>
      <c r="D17" s="78">
        <f>+D13*D10</f>
        <v>97.5</v>
      </c>
      <c r="E17" s="78">
        <f>+E13*E10</f>
        <v>48.75</v>
      </c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 s="218"/>
      <c r="F18"/>
      <c r="G18" s="240"/>
      <c r="H18" s="203"/>
    </row>
    <row r="19" spans="1:8" ht="18" customHeight="1" thickBot="1" x14ac:dyDescent="0.3">
      <c r="A19" s="22"/>
      <c r="B19" s="371" t="s">
        <v>98</v>
      </c>
      <c r="C19" s="101" t="s">
        <v>45</v>
      </c>
      <c r="D19" s="102" t="s">
        <v>46</v>
      </c>
      <c r="E19" s="102" t="s">
        <v>47</v>
      </c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0.25</v>
      </c>
      <c r="D20" s="366">
        <v>0.5</v>
      </c>
      <c r="E20" s="366">
        <v>0.25</v>
      </c>
      <c r="F20"/>
      <c r="G20" s="74">
        <f>SUM(C20,D20,E20,F20)</f>
        <v>1</v>
      </c>
      <c r="H20"/>
    </row>
    <row r="21" spans="1:8" ht="12.75" customHeight="1" x14ac:dyDescent="0.25">
      <c r="A21" s="22"/>
      <c r="B21" s="372" t="s">
        <v>218</v>
      </c>
      <c r="C21" s="373">
        <v>0.24</v>
      </c>
      <c r="D21" s="374">
        <v>0.48</v>
      </c>
      <c r="E21" s="374">
        <v>0.72</v>
      </c>
      <c r="F21"/>
      <c r="G21" s="367"/>
      <c r="H21"/>
    </row>
    <row r="22" spans="1:8" ht="12.75" customHeight="1" thickBot="1" x14ac:dyDescent="0.3">
      <c r="A22" s="22"/>
      <c r="B22" s="446" t="s">
        <v>175</v>
      </c>
      <c r="C22" s="445">
        <f>ROUNDUP(5*C20/C21,0)</f>
        <v>6</v>
      </c>
      <c r="D22" s="384">
        <f>ROUND(5*D20/D21,0)</f>
        <v>5</v>
      </c>
      <c r="E22" s="384">
        <f>ROUND(5*E20/E21,0)</f>
        <v>2</v>
      </c>
      <c r="F22"/>
      <c r="G22" s="367"/>
      <c r="H22"/>
    </row>
    <row r="23" spans="1:8" ht="12.75" hidden="1" customHeight="1" thickBot="1" x14ac:dyDescent="0.3">
      <c r="A23" s="22"/>
      <c r="B23" s="444" t="s">
        <v>237</v>
      </c>
      <c r="C23" s="548">
        <f>((C22*C21)+(D22*D21)+(E22*E21))</f>
        <v>5.2799999999999994</v>
      </c>
      <c r="D23" s="548"/>
      <c r="E23" s="549"/>
      <c r="F23"/>
      <c r="G23" s="367"/>
      <c r="H23"/>
    </row>
    <row r="24" spans="1:8" ht="12.75" customHeight="1" x14ac:dyDescent="0.25">
      <c r="A24" s="22"/>
      <c r="B24" s="140" t="s">
        <v>65</v>
      </c>
      <c r="C24" s="123">
        <f>$E$4*C20/C21</f>
        <v>20.833333333333336</v>
      </c>
      <c r="D24" s="123">
        <f>$E$4*D20/D21</f>
        <v>20.833333333333336</v>
      </c>
      <c r="E24" s="123">
        <f>$E$4*E20/E21</f>
        <v>6.9444444444444446</v>
      </c>
      <c r="F24"/>
      <c r="G24" s="367"/>
      <c r="H24"/>
    </row>
    <row r="25" spans="1:8" s="378" customFormat="1" ht="18" customHeight="1" x14ac:dyDescent="0.3">
      <c r="A25" s="375"/>
      <c r="B25" s="380" t="s">
        <v>112</v>
      </c>
      <c r="C25" s="551">
        <f>ROUND((C24+D24+E24)/(C22+D22+E22),0)</f>
        <v>4</v>
      </c>
      <c r="D25" s="552"/>
      <c r="E25" s="553"/>
      <c r="F25"/>
      <c r="G25" s="376"/>
      <c r="H25" s="377"/>
    </row>
    <row r="26" spans="1:8" ht="12.75" hidden="1" customHeight="1" x14ac:dyDescent="0.25">
      <c r="A26" s="22"/>
      <c r="B26" s="379" t="s">
        <v>75</v>
      </c>
      <c r="C26" s="546">
        <v>0</v>
      </c>
      <c r="D26" s="546"/>
      <c r="E26" s="546"/>
      <c r="F26" s="381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114</v>
      </c>
      <c r="D28" s="353">
        <f>(C13*C10)+(D13*D10)+(E13*E10)+(F13*F10)</f>
        <v>195</v>
      </c>
      <c r="E28" s="354" t="s">
        <v>213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101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97</v>
      </c>
      <c r="D30" s="361">
        <f>C23*C25</f>
        <v>21.119999999999997</v>
      </c>
      <c r="E30" s="362" t="s">
        <v>214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102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94</v>
      </c>
      <c r="D32" s="70">
        <f>ROUNDUP(D28/25,0)</f>
        <v>8</v>
      </c>
      <c r="E32" s="294" t="s">
        <v>169</v>
      </c>
      <c r="F32" s="40"/>
      <c r="G32" s="39"/>
      <c r="H32" s="35"/>
    </row>
    <row r="33" spans="1:14" ht="12.75" customHeight="1" x14ac:dyDescent="0.25">
      <c r="A33" s="39"/>
      <c r="B33" s="498" t="s">
        <v>8</v>
      </c>
      <c r="C33" s="498"/>
      <c r="D33" s="498"/>
      <c r="E33" s="498"/>
      <c r="F33" s="498"/>
      <c r="G33" s="498"/>
      <c r="H33" s="35"/>
    </row>
    <row r="34" spans="1:14" ht="18" customHeight="1" x14ac:dyDescent="0.25">
      <c r="A34" s="351"/>
      <c r="B34" s="351"/>
      <c r="C34" s="352" t="s">
        <v>95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55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54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56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34.799999999999997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gh86zVaY23AmyHm/Qs0fOPC7ZFfdDJ7l9B5pMACNvF2CEOXU/8H2Ez5Ftlpcg4Sqezu+ZSAPyERF8Xidg+XSmg==" saltValue="icaQ23RBAOY/hqLS3ePdgQ==" spinCount="100000" sheet="1" selectLockedCells="1"/>
  <mergeCells count="8">
    <mergeCell ref="B33:G33"/>
    <mergeCell ref="A1:H1"/>
    <mergeCell ref="C23:E23"/>
    <mergeCell ref="C25:E25"/>
    <mergeCell ref="C26:E26"/>
    <mergeCell ref="C12:E12"/>
    <mergeCell ref="C14:E14"/>
    <mergeCell ref="G11:H16"/>
  </mergeCells>
  <conditionalFormatting sqref="C12:E12">
    <cfRule type="cellIs" dxfId="7" priority="3" operator="lessThan">
      <formula>5</formula>
    </cfRule>
    <cfRule type="cellIs" dxfId="6" priority="4" operator="greaterThan">
      <formula>5</formula>
    </cfRule>
  </conditionalFormatting>
  <conditionalFormatting sqref="C23:E23">
    <cfRule type="cellIs" dxfId="5" priority="1" operator="lessThan">
      <formula>5</formula>
    </cfRule>
    <cfRule type="cellIs" dxfId="4" priority="2" operator="greaterThan">
      <formula>5</formula>
    </cfRule>
  </conditionalFormatting>
  <dataValidations disablePrompts="1" count="2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21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2100-000001000000}">
      <formula1>0</formula1>
      <formula2>100</formula2>
    </dataValidation>
  </dataValidations>
  <hyperlinks>
    <hyperlink ref="H43" r:id="rId1" xr:uid="{00000000-0004-0000-2100-000000000000}"/>
    <hyperlink ref="H41" r:id="rId2" xr:uid="{00000000-0004-0000-2100-000001000000}"/>
    <hyperlink ref="H44" r:id="rId3" xr:uid="{00000000-0004-0000-21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31" t="s">
        <v>238</v>
      </c>
      <c r="B1" s="531"/>
      <c r="C1" s="531"/>
      <c r="D1" s="531"/>
      <c r="E1" s="531"/>
      <c r="F1" s="531"/>
      <c r="G1" s="531"/>
      <c r="H1" s="531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280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215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99</v>
      </c>
      <c r="C8" s="101" t="s">
        <v>42</v>
      </c>
      <c r="D8" s="102" t="s">
        <v>43</v>
      </c>
      <c r="E8"/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0.75</v>
      </c>
      <c r="D9" s="89">
        <v>0.25</v>
      </c>
      <c r="E9" s="74">
        <f>SUM(C9,D9)</f>
        <v>1</v>
      </c>
      <c r="F9"/>
      <c r="G9" s="74"/>
      <c r="H9" s="229"/>
    </row>
    <row r="10" spans="1:9" ht="12.75" customHeight="1" x14ac:dyDescent="0.25">
      <c r="A10" s="22"/>
      <c r="B10" s="51" t="s">
        <v>66</v>
      </c>
      <c r="C10" s="104">
        <v>0.89</v>
      </c>
      <c r="D10" s="105">
        <v>1.77</v>
      </c>
      <c r="E10"/>
      <c r="F10"/>
      <c r="G10" s="240"/>
      <c r="H10" s="203"/>
    </row>
    <row r="11" spans="1:9" ht="12.75" customHeight="1" thickBot="1" x14ac:dyDescent="0.3">
      <c r="A11" s="22"/>
      <c r="B11" s="394" t="s">
        <v>175</v>
      </c>
      <c r="C11" s="431">
        <f>ROUND(5*C9/C10,0)</f>
        <v>4</v>
      </c>
      <c r="D11" s="398">
        <f>ROUND(5*D9/D10,0)</f>
        <v>1</v>
      </c>
      <c r="E11"/>
      <c r="F11"/>
      <c r="G11" s="501" t="s">
        <v>283</v>
      </c>
      <c r="H11" s="501"/>
      <c r="I11"/>
    </row>
    <row r="12" spans="1:9" ht="12.75" hidden="1" customHeight="1" thickBot="1" x14ac:dyDescent="0.3">
      <c r="A12" s="22"/>
      <c r="B12" s="51" t="s">
        <v>237</v>
      </c>
      <c r="C12" s="556">
        <f>((C11*C10)+(D11*D10))</f>
        <v>5.33</v>
      </c>
      <c r="D12" s="558"/>
      <c r="E12"/>
      <c r="F12"/>
      <c r="G12" s="501"/>
      <c r="H12" s="501"/>
      <c r="I12"/>
    </row>
    <row r="13" spans="1:9" ht="18" customHeight="1" thickBot="1" x14ac:dyDescent="0.3">
      <c r="A13" s="22"/>
      <c r="B13" s="140" t="s">
        <v>65</v>
      </c>
      <c r="C13" s="123">
        <f>E6*C9/C10</f>
        <v>164.32584269662922</v>
      </c>
      <c r="D13" s="123">
        <f>E6*D9/D10</f>
        <v>27.542372881355931</v>
      </c>
      <c r="E13"/>
      <c r="F13"/>
      <c r="G13" s="501"/>
      <c r="H13" s="501"/>
    </row>
    <row r="14" spans="1:9" ht="18" customHeight="1" x14ac:dyDescent="0.25">
      <c r="A14" s="22"/>
      <c r="B14" s="140" t="s">
        <v>112</v>
      </c>
      <c r="C14" s="559">
        <f>ROUND((C13+D13)/(C11+D11),0)</f>
        <v>38</v>
      </c>
      <c r="D14" s="560"/>
      <c r="E14"/>
      <c r="F14"/>
      <c r="G14" s="501"/>
      <c r="H14" s="501"/>
    </row>
    <row r="15" spans="1:9" ht="12.75" hidden="1" customHeight="1" x14ac:dyDescent="0.25">
      <c r="A15" s="22"/>
      <c r="B15" s="143" t="s">
        <v>70</v>
      </c>
      <c r="C15" s="78">
        <f>C12*C16</f>
        <v>0</v>
      </c>
      <c r="D15" s="78">
        <f>D12*D16</f>
        <v>0</v>
      </c>
      <c r="E15"/>
      <c r="F15"/>
      <c r="G15" s="501"/>
      <c r="H15" s="501"/>
    </row>
    <row r="16" spans="1:9" ht="12.75" hidden="1" customHeight="1" x14ac:dyDescent="0.25">
      <c r="A16" s="22"/>
      <c r="B16" s="217" t="s">
        <v>69</v>
      </c>
      <c r="C16" s="236">
        <v>0</v>
      </c>
      <c r="D16" s="236">
        <v>0</v>
      </c>
      <c r="E16"/>
      <c r="F16"/>
      <c r="G16" s="501"/>
      <c r="H16" s="501"/>
    </row>
    <row r="17" spans="1:8" ht="12.75" hidden="1" customHeight="1" x14ac:dyDescent="0.25">
      <c r="A17" s="22"/>
      <c r="B17" s="219" t="s">
        <v>71</v>
      </c>
      <c r="C17" s="78">
        <f>+C13*C10</f>
        <v>146.25</v>
      </c>
      <c r="D17" s="78">
        <f>+D13*D10</f>
        <v>48.75</v>
      </c>
      <c r="E17"/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/>
      <c r="F18"/>
      <c r="G18" s="240"/>
      <c r="H18" s="203"/>
    </row>
    <row r="19" spans="1:8" ht="18" customHeight="1" thickBot="1" x14ac:dyDescent="0.3">
      <c r="A19" s="22"/>
      <c r="B19" s="371" t="s">
        <v>98</v>
      </c>
      <c r="C19" s="101" t="s">
        <v>42</v>
      </c>
      <c r="D19" s="102" t="s">
        <v>43</v>
      </c>
      <c r="E19"/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0.75</v>
      </c>
      <c r="D20" s="366">
        <v>0.25</v>
      </c>
      <c r="E20" s="74">
        <f>SUM(C20,D20)</f>
        <v>1</v>
      </c>
      <c r="F20"/>
      <c r="G20" s="74"/>
      <c r="H20"/>
    </row>
    <row r="21" spans="1:8" ht="12.75" customHeight="1" x14ac:dyDescent="0.25">
      <c r="A21" s="22"/>
      <c r="B21" s="372" t="s">
        <v>281</v>
      </c>
      <c r="C21" s="373">
        <v>0.44</v>
      </c>
      <c r="D21" s="374">
        <v>0.9</v>
      </c>
      <c r="E21"/>
      <c r="F21"/>
      <c r="G21" s="367"/>
      <c r="H21"/>
    </row>
    <row r="22" spans="1:8" ht="12.75" customHeight="1" thickBot="1" x14ac:dyDescent="0.3">
      <c r="A22" s="22"/>
      <c r="B22" s="372" t="s">
        <v>175</v>
      </c>
      <c r="C22" s="383">
        <f>ROUND(5*C20/C21,0)</f>
        <v>9</v>
      </c>
      <c r="D22" s="448">
        <f>ROUNDUP(5*D20/D21,0)</f>
        <v>2</v>
      </c>
      <c r="E22"/>
      <c r="F22"/>
      <c r="G22" s="367"/>
      <c r="H22"/>
    </row>
    <row r="23" spans="1:8" ht="12.75" hidden="1" customHeight="1" thickBot="1" x14ac:dyDescent="0.3">
      <c r="A23" s="22"/>
      <c r="B23" s="51" t="s">
        <v>237</v>
      </c>
      <c r="C23" s="547">
        <f>((C22*C21)+(D22*D21))</f>
        <v>5.76</v>
      </c>
      <c r="D23" s="549"/>
      <c r="E23"/>
      <c r="F23"/>
      <c r="G23" s="367"/>
      <c r="H23"/>
    </row>
    <row r="24" spans="1:8" ht="12.75" customHeight="1" x14ac:dyDescent="0.25">
      <c r="A24" s="22"/>
      <c r="B24" s="140" t="s">
        <v>65</v>
      </c>
      <c r="C24" s="123">
        <f>E4*C20/C21</f>
        <v>34.090909090909093</v>
      </c>
      <c r="D24" s="123">
        <f>E4*D20/D21</f>
        <v>5.5555555555555554</v>
      </c>
      <c r="E24"/>
      <c r="F24"/>
      <c r="G24" s="367"/>
      <c r="H24"/>
    </row>
    <row r="25" spans="1:8" s="378" customFormat="1" ht="18" customHeight="1" x14ac:dyDescent="0.3">
      <c r="A25" s="375"/>
      <c r="B25" s="380" t="s">
        <v>112</v>
      </c>
      <c r="C25" s="551">
        <f>ROUND((C24+D24)/(C22+D22),0)</f>
        <v>4</v>
      </c>
      <c r="D25" s="553"/>
      <c r="E25" s="385"/>
      <c r="F25"/>
      <c r="G25" s="376"/>
      <c r="H25" s="377"/>
    </row>
    <row r="26" spans="1:8" ht="12.75" hidden="1" customHeight="1" x14ac:dyDescent="0.25">
      <c r="A26" s="22"/>
      <c r="B26" s="379" t="s">
        <v>75</v>
      </c>
      <c r="C26" s="546">
        <v>0</v>
      </c>
      <c r="D26" s="546"/>
      <c r="E26" s="382"/>
      <c r="F26" s="382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114</v>
      </c>
      <c r="D28" s="353">
        <f>(C13*C10)+(D13*D10)+(E13*E10)+(F13*F10)</f>
        <v>195</v>
      </c>
      <c r="E28" s="354" t="s">
        <v>213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101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97</v>
      </c>
      <c r="D30" s="361">
        <f>C23*C25</f>
        <v>23.04</v>
      </c>
      <c r="E30" s="362" t="s">
        <v>214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102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94</v>
      </c>
      <c r="D32" s="70">
        <f>ROUNDUP(D28/25,0)</f>
        <v>8</v>
      </c>
      <c r="E32" s="294" t="s">
        <v>169</v>
      </c>
      <c r="F32" s="40"/>
      <c r="G32" s="39"/>
      <c r="H32" s="35"/>
    </row>
    <row r="33" spans="1:14" ht="12.75" customHeight="1" x14ac:dyDescent="0.25">
      <c r="A33" s="39"/>
      <c r="B33" s="498" t="s">
        <v>8</v>
      </c>
      <c r="C33" s="498"/>
      <c r="D33" s="498"/>
      <c r="E33" s="498"/>
      <c r="F33" s="498"/>
      <c r="G33" s="498"/>
      <c r="H33" s="35"/>
    </row>
    <row r="34" spans="1:14" ht="18" customHeight="1" x14ac:dyDescent="0.25">
      <c r="A34" s="351"/>
      <c r="B34" s="351"/>
      <c r="C34" s="352" t="s">
        <v>95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55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54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56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+XLHFQ/Mvae2NlbaV8pIO8E9jo/eCeswYDJQHuCR0Go4FFQKg6ltAVNT4ptkcgNfAZJI6id2FWOdRVatCm/JLg==" saltValue="HJxGvA5ZTC+S9RHEDbtdCA==" spinCount="100000" sheet="1" selectLockedCells="1"/>
  <mergeCells count="8">
    <mergeCell ref="A1:H1"/>
    <mergeCell ref="B33:G33"/>
    <mergeCell ref="C23:D23"/>
    <mergeCell ref="C25:D25"/>
    <mergeCell ref="C26:D26"/>
    <mergeCell ref="C12:D12"/>
    <mergeCell ref="C14:D14"/>
    <mergeCell ref="G11:H16"/>
  </mergeCells>
  <conditionalFormatting sqref="C12:D12">
    <cfRule type="cellIs" dxfId="3" priority="3" operator="lessThan">
      <formula>5</formula>
    </cfRule>
    <cfRule type="cellIs" dxfId="2" priority="4" operator="greaterThan">
      <formula>5</formula>
    </cfRule>
  </conditionalFormatting>
  <conditionalFormatting sqref="C23:D23">
    <cfRule type="cellIs" dxfId="1" priority="1" operator="lessThan">
      <formula>5</formula>
    </cfRule>
    <cfRule type="cellIs" dxfId="0" priority="2" operator="greaterThan">
      <formula>5</formula>
    </cfRule>
  </conditionalFormatting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22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2200-000001000000}">
      <formula1>0</formula1>
      <formula2>100</formula2>
    </dataValidation>
  </dataValidations>
  <hyperlinks>
    <hyperlink ref="H43" r:id="rId1" xr:uid="{00000000-0004-0000-2200-000000000000}"/>
    <hyperlink ref="H41" r:id="rId2" xr:uid="{00000000-0004-0000-2200-000001000000}"/>
    <hyperlink ref="H44" r:id="rId3" xr:uid="{00000000-0004-0000-22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AE44-248C-4519-8919-CF0320938D52}">
  <sheetPr>
    <tabColor theme="3"/>
  </sheetPr>
  <dimension ref="A1:R48"/>
  <sheetViews>
    <sheetView showGridLines="0" showRowColHeaders="0" zoomScaleNormal="100" workbookViewId="0">
      <selection activeCell="H34" sqref="H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1" t="s">
        <v>320</v>
      </c>
      <c r="B1" s="561"/>
      <c r="C1" s="561"/>
      <c r="D1" s="561"/>
      <c r="E1" s="561"/>
      <c r="F1" s="561"/>
      <c r="G1" s="561"/>
      <c r="H1" s="561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2"/>
    </row>
    <row r="7" spans="1:8" ht="18" customHeight="1" thickBot="1" x14ac:dyDescent="0.35">
      <c r="B7" s="201" t="s">
        <v>0</v>
      </c>
      <c r="C7" s="202" t="s">
        <v>322</v>
      </c>
      <c r="D7" s="227" t="s">
        <v>323</v>
      </c>
      <c r="E7" s="466"/>
      <c r="F7" s="229"/>
      <c r="G7" s="1"/>
      <c r="H7" s="1"/>
    </row>
    <row r="8" spans="1:8" ht="18" customHeight="1" thickTop="1" x14ac:dyDescent="0.3">
      <c r="B8" s="204" t="s">
        <v>11</v>
      </c>
      <c r="C8" s="153">
        <v>0.75</v>
      </c>
      <c r="D8" s="154">
        <v>0.25</v>
      </c>
      <c r="E8" s="74">
        <f>SUM(C8:D8)</f>
        <v>1</v>
      </c>
      <c r="F8" s="74"/>
      <c r="G8" s="1"/>
      <c r="H8" s="1"/>
    </row>
    <row r="9" spans="1:8" ht="18.75" hidden="1" customHeight="1" x14ac:dyDescent="0.25">
      <c r="B9" s="205" t="s">
        <v>66</v>
      </c>
      <c r="C9" s="206">
        <v>0.89</v>
      </c>
      <c r="D9" s="230">
        <v>1.7916000000000001</v>
      </c>
      <c r="E9"/>
      <c r="F9" s="203"/>
    </row>
    <row r="10" spans="1:8" ht="12.75" customHeight="1" x14ac:dyDescent="0.25">
      <c r="B10" s="207" t="s">
        <v>1</v>
      </c>
      <c r="C10" s="208">
        <f>+(E5*C8)/C9</f>
        <v>168.53932584269663</v>
      </c>
      <c r="D10" s="231">
        <f>+(E5*D8)/D9</f>
        <v>27.908015181960259</v>
      </c>
      <c r="E10"/>
      <c r="F10" s="203"/>
      <c r="G10" s="501" t="s">
        <v>203</v>
      </c>
      <c r="H10" s="501"/>
    </row>
    <row r="11" spans="1:8" ht="12.75" customHeight="1" x14ac:dyDescent="0.25">
      <c r="B11" s="209" t="s">
        <v>67</v>
      </c>
      <c r="C11" s="206">
        <v>84</v>
      </c>
      <c r="D11" s="230">
        <v>30</v>
      </c>
      <c r="E11"/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7</v>
      </c>
      <c r="D12" s="138">
        <v>10</v>
      </c>
      <c r="E12"/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12</v>
      </c>
      <c r="D13" s="138">
        <v>12</v>
      </c>
      <c r="E13"/>
      <c r="F13" s="232"/>
      <c r="G13" s="501"/>
      <c r="H13" s="501"/>
    </row>
    <row r="14" spans="1:8" ht="18.600000000000001" hidden="1" customHeight="1" thickBot="1" x14ac:dyDescent="0.3">
      <c r="B14" s="116" t="s">
        <v>64</v>
      </c>
      <c r="C14" s="138">
        <v>12</v>
      </c>
      <c r="D14" s="138">
        <v>12</v>
      </c>
      <c r="E14"/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2</v>
      </c>
      <c r="D15" s="65">
        <f>IF(MOD(D10+D13,D11)&lt;=D13,1+ROUNDDOWN(D10/D11,0),ROUNDDOWN(D10/D11,0))</f>
        <v>1</v>
      </c>
      <c r="E15"/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1</v>
      </c>
      <c r="D16" s="119">
        <f>IF(ROUNDUP((D10-(D11*D15))/D12,0)&lt;0,0,ROUNDUP((D10-(D11*D15))/D12,0))</f>
        <v>0</v>
      </c>
      <c r="E16"/>
      <c r="F16" s="528"/>
      <c r="G16" s="528"/>
      <c r="H16" s="528"/>
    </row>
    <row r="17" spans="1:18" ht="18" customHeight="1" x14ac:dyDescent="0.25">
      <c r="B17" s="140" t="s">
        <v>65</v>
      </c>
      <c r="C17" s="458">
        <f>(C15*C11)+(ROUNDUP(C16/2,0)*C13)+(ROUNDDOWN(C16/2,0)*C14)</f>
        <v>180</v>
      </c>
      <c r="D17" s="458">
        <f>(D15*D11)+(ROUNDUP(D16/2,0)*D13)+(ROUNDDOWN(D16/2,0)*D14)</f>
        <v>30</v>
      </c>
      <c r="E17"/>
      <c r="F17" s="232"/>
    </row>
    <row r="18" spans="1:18" ht="12.75" customHeight="1" x14ac:dyDescent="0.25">
      <c r="B18" s="143" t="s">
        <v>70</v>
      </c>
      <c r="C18" s="78">
        <v>3268</v>
      </c>
      <c r="D18" s="78">
        <v>2783</v>
      </c>
      <c r="E18"/>
    </row>
    <row r="19" spans="1:18" ht="12.75" customHeight="1" x14ac:dyDescent="0.25">
      <c r="B19" s="217" t="s">
        <v>69</v>
      </c>
      <c r="C19" s="218">
        <v>38.9</v>
      </c>
      <c r="D19" s="218">
        <v>92.7</v>
      </c>
      <c r="E19"/>
    </row>
    <row r="20" spans="1:18" ht="12.75" hidden="1" customHeight="1" x14ac:dyDescent="0.25">
      <c r="B20" s="219" t="s">
        <v>71</v>
      </c>
      <c r="C20" s="78">
        <f>+C17*C9</f>
        <v>160.19999999999999</v>
      </c>
      <c r="D20" s="78">
        <f>+D17*D9</f>
        <v>53.748000000000005</v>
      </c>
      <c r="E20" s="78">
        <f>+E17*E9</f>
        <v>0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19"/>
      <c r="B24" s="419"/>
      <c r="C24" s="420" t="s">
        <v>92</v>
      </c>
      <c r="D24" s="421">
        <f>SUM(C20:E20)</f>
        <v>213.94799999999998</v>
      </c>
      <c r="E24" s="422" t="s">
        <v>277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19"/>
      <c r="B27" s="419"/>
      <c r="C27" s="420" t="s">
        <v>95</v>
      </c>
      <c r="D27" s="421">
        <f>SUM(C17*C19+D17*D19)</f>
        <v>9783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wI1N1mrckEhWGR8jZh9jc+IAugl5LkzopvYdDe3jT4Gth718kTQZYRLns+GhO3iT2pgpxTeM7kKvMUIGlZKvJw==" saltValue="ZgESWER1dgL89I2m9iSQXA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CA92E89A-B656-4F0C-A7A7-974BBC9B011D}"/>
  </dataValidations>
  <hyperlinks>
    <hyperlink ref="H34" r:id="rId1" xr:uid="{8332A589-78BF-43FE-BAD1-F1BB6435DC72}"/>
    <hyperlink ref="H38" r:id="rId2" xr:uid="{2FB1C3B1-A66C-42AD-80E0-F3553A2B9242}"/>
    <hyperlink ref="H37" r:id="rId3" xr:uid="{37B7C8D2-08FA-45CB-91E1-4ECB815E593D}"/>
    <hyperlink ref="H36" r:id="rId4" xr:uid="{4C405B98-8A4E-4DAF-A6BE-62D14ADBB276}"/>
  </hyperlinks>
  <pageMargins left="0.75" right="0.75" top="1" bottom="1" header="0.5" footer="0.5"/>
  <pageSetup orientation="portrait" r:id="rId5"/>
  <headerFooter alignWithMargins="0"/>
  <drawing r:id="rId6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>
    <tabColor theme="3"/>
  </sheetPr>
  <dimension ref="A1:R48"/>
  <sheetViews>
    <sheetView showGridLines="0" showRowColHeaders="0" zoomScaleNormal="100" workbookViewId="0">
      <selection activeCell="C46" sqref="C4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1" t="s">
        <v>324</v>
      </c>
      <c r="B1" s="561"/>
      <c r="C1" s="561"/>
      <c r="D1" s="561"/>
      <c r="E1" s="561"/>
      <c r="F1" s="561"/>
      <c r="G1" s="561"/>
      <c r="H1" s="561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321</v>
      </c>
      <c r="D7" s="227" t="s">
        <v>322</v>
      </c>
      <c r="E7" s="228" t="s">
        <v>325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0.4</v>
      </c>
      <c r="E8" s="153">
        <v>0.4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0.45</v>
      </c>
      <c r="D9" s="230">
        <v>0.9</v>
      </c>
      <c r="E9" s="206">
        <v>1.33</v>
      </c>
      <c r="F9" s="203"/>
    </row>
    <row r="10" spans="1:8" ht="12.75" customHeight="1" x14ac:dyDescent="0.25">
      <c r="B10" s="207" t="s">
        <v>1</v>
      </c>
      <c r="C10" s="208">
        <f>+(E5*C8)/C9</f>
        <v>88.888888888888886</v>
      </c>
      <c r="D10" s="231">
        <f>+(E5*D8)/D9</f>
        <v>88.888888888888886</v>
      </c>
      <c r="E10" s="208">
        <f>+(E5*E8)/E9</f>
        <v>60.150375939849624</v>
      </c>
      <c r="F10" s="203"/>
      <c r="G10" s="501" t="s">
        <v>203</v>
      </c>
      <c r="H10" s="501"/>
    </row>
    <row r="11" spans="1:8" ht="12.75" customHeight="1" x14ac:dyDescent="0.25">
      <c r="B11" s="209" t="s">
        <v>67</v>
      </c>
      <c r="C11" s="206">
        <v>180</v>
      </c>
      <c r="D11" s="230">
        <v>84</v>
      </c>
      <c r="E11" s="206">
        <v>55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15</v>
      </c>
      <c r="D12" s="138">
        <v>7</v>
      </c>
      <c r="E12" s="105">
        <v>11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12</v>
      </c>
      <c r="D13" s="138">
        <v>12</v>
      </c>
      <c r="E13" s="105">
        <v>11</v>
      </c>
      <c r="F13" s="232"/>
      <c r="G13" s="501"/>
      <c r="H13" s="501"/>
    </row>
    <row r="14" spans="1:8" ht="18.600000000000001" hidden="1" customHeight="1" thickBot="1" x14ac:dyDescent="0.3">
      <c r="B14" s="116" t="s">
        <v>64</v>
      </c>
      <c r="C14" s="138">
        <v>12</v>
      </c>
      <c r="D14" s="138">
        <v>12</v>
      </c>
      <c r="E14" s="105">
        <v>11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1</v>
      </c>
      <c r="F16" s="528"/>
      <c r="G16" s="528"/>
      <c r="H16" s="528"/>
    </row>
    <row r="17" spans="1:18" ht="18" customHeight="1" x14ac:dyDescent="0.25">
      <c r="B17" s="140" t="s">
        <v>65</v>
      </c>
      <c r="C17" s="123">
        <f>(C15*C11)+(ROUNDUP(C16/2,0)*C13)+(ROUNDDOWN(C16/2,0)*C14)</f>
        <v>72</v>
      </c>
      <c r="D17" s="123">
        <f>(D15*D11)+(ROUNDUP(D16/2,0)*D13)+(ROUNDDOWN(D16/2,0)*D14)</f>
        <v>96</v>
      </c>
      <c r="E17" s="123">
        <f>(E15*E11)+(ROUNDUP(E16/2,0)*E13)+(ROUNDDOWN(E16/2,0)*E14)</f>
        <v>66</v>
      </c>
      <c r="F17" s="232"/>
    </row>
    <row r="18" spans="1:18" ht="12.75" customHeight="1" x14ac:dyDescent="0.25">
      <c r="B18" s="143" t="s">
        <v>70</v>
      </c>
      <c r="C18" s="78">
        <v>2952</v>
      </c>
      <c r="D18" s="78">
        <v>3268</v>
      </c>
      <c r="E18" s="78">
        <v>3372</v>
      </c>
    </row>
    <row r="19" spans="1:18" ht="12.75" customHeight="1" x14ac:dyDescent="0.25">
      <c r="B19" s="217" t="s">
        <v>69</v>
      </c>
      <c r="C19" s="218">
        <v>16.399999999999999</v>
      </c>
      <c r="D19" s="218">
        <v>38.9</v>
      </c>
      <c r="E19" s="218">
        <v>61.3</v>
      </c>
    </row>
    <row r="20" spans="1:18" ht="12.75" hidden="1" customHeight="1" x14ac:dyDescent="0.25">
      <c r="B20" s="219" t="s">
        <v>71</v>
      </c>
      <c r="C20" s="78">
        <f>+C17*C9</f>
        <v>32.4</v>
      </c>
      <c r="D20" s="78">
        <f>+D17*D9</f>
        <v>86.4</v>
      </c>
      <c r="E20" s="78">
        <f>+E17*E9</f>
        <v>87.78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19"/>
      <c r="B24" s="419"/>
      <c r="C24" s="420" t="s">
        <v>92</v>
      </c>
      <c r="D24" s="421">
        <f>SUM(C20:E20)</f>
        <v>206.58</v>
      </c>
      <c r="E24" s="422" t="s">
        <v>277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19"/>
      <c r="B27" s="419"/>
      <c r="C27" s="420" t="s">
        <v>95</v>
      </c>
      <c r="D27" s="421">
        <f>SUM(C17*C19+D17*D19+E17*E19)</f>
        <v>8961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/y9ay5d6NelTO/zFKMuPM7SWdnPa3oRbRSFrblxHfrEjEojyrqFrvLcgBI5i79B5/sLi/yLpCDnUNtHGb/swPw==" saltValue="990bfj5RX1EyYhJ3ZirsFg==" spinCount="100000" sheet="1" selectLockedCells="1"/>
  <mergeCells count="4">
    <mergeCell ref="A1:H1"/>
    <mergeCell ref="G10:H15"/>
    <mergeCell ref="F16:H16"/>
    <mergeCell ref="B26:G26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300-000000000000}"/>
  </dataValidations>
  <hyperlinks>
    <hyperlink ref="H34" r:id="rId1" xr:uid="{00000000-0004-0000-2300-000001000000}"/>
    <hyperlink ref="H38" r:id="rId2" xr:uid="{00000000-0004-0000-2300-000002000000}"/>
    <hyperlink ref="H37" r:id="rId3" xr:uid="{00000000-0004-0000-2300-000003000000}"/>
    <hyperlink ref="H36" r:id="rId4" xr:uid="{00000000-0004-0000-23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D808-312E-4C82-838A-7498D6BEB5EC}">
  <sheetPr>
    <tabColor theme="3"/>
  </sheetPr>
  <dimension ref="A1:S48"/>
  <sheetViews>
    <sheetView showGridLines="0" showRowColHeaders="0" zoomScaleNormal="100" workbookViewId="0">
      <selection activeCell="I34" sqref="I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7" width="10.6640625" style="23" customWidth="1"/>
    <col min="8" max="8" width="14.6640625" style="23" customWidth="1"/>
    <col min="9" max="9" width="8.6640625" style="23" customWidth="1"/>
    <col min="10" max="16384" width="9.109375" style="23"/>
  </cols>
  <sheetData>
    <row r="1" spans="1:9" ht="24" customHeight="1" x14ac:dyDescent="0.25">
      <c r="A1" s="561" t="s">
        <v>326</v>
      </c>
      <c r="B1" s="561"/>
      <c r="C1" s="561"/>
      <c r="D1" s="561"/>
      <c r="E1" s="561"/>
      <c r="F1" s="561"/>
      <c r="G1" s="561"/>
      <c r="H1" s="561"/>
      <c r="I1" s="561"/>
    </row>
    <row r="2" spans="1:9" ht="12.75" customHeight="1" x14ac:dyDescent="0.25"/>
    <row r="3" spans="1:9" ht="18" customHeight="1" x14ac:dyDescent="0.3">
      <c r="B3" s="41"/>
      <c r="C3" s="36"/>
      <c r="D3" s="94" t="s">
        <v>86</v>
      </c>
      <c r="E3" s="96">
        <v>200</v>
      </c>
      <c r="F3"/>
      <c r="G3" s="3"/>
      <c r="H3" s="3"/>
      <c r="I3" s="3"/>
    </row>
    <row r="4" spans="1:9" ht="18" customHeight="1" x14ac:dyDescent="0.3">
      <c r="B4" s="35"/>
      <c r="C4" s="36"/>
      <c r="D4" s="95" t="s">
        <v>13</v>
      </c>
      <c r="E4" s="97">
        <v>0</v>
      </c>
      <c r="F4"/>
      <c r="G4" s="3"/>
      <c r="H4" s="3"/>
      <c r="I4" s="3"/>
    </row>
    <row r="5" spans="1:9" ht="18" customHeight="1" x14ac:dyDescent="0.3">
      <c r="B5" s="35"/>
      <c r="C5" s="36"/>
      <c r="D5" s="95" t="s">
        <v>85</v>
      </c>
      <c r="E5" s="344">
        <f>E3+E3*E4/100</f>
        <v>200</v>
      </c>
      <c r="F5"/>
      <c r="G5" s="3"/>
      <c r="H5" s="3"/>
      <c r="I5" s="3"/>
    </row>
    <row r="6" spans="1:9" ht="12.75" customHeight="1" x14ac:dyDescent="0.25">
      <c r="B6" s="12"/>
      <c r="C6" s="200"/>
      <c r="D6" s="200"/>
      <c r="E6" s="200"/>
      <c r="F6" s="22"/>
    </row>
    <row r="7" spans="1:9" ht="18" customHeight="1" thickBot="1" x14ac:dyDescent="0.35">
      <c r="B7" s="201" t="s">
        <v>0</v>
      </c>
      <c r="C7" s="202" t="s">
        <v>321</v>
      </c>
      <c r="D7" s="227" t="s">
        <v>322</v>
      </c>
      <c r="E7" s="228" t="s">
        <v>325</v>
      </c>
      <c r="F7" s="468" t="s">
        <v>323</v>
      </c>
      <c r="G7" s="229"/>
      <c r="H7" s="1"/>
      <c r="I7" s="1"/>
    </row>
    <row r="8" spans="1:9" ht="18" customHeight="1" thickTop="1" x14ac:dyDescent="0.3">
      <c r="B8" s="204" t="s">
        <v>11</v>
      </c>
      <c r="C8" s="153">
        <v>0.15</v>
      </c>
      <c r="D8" s="154">
        <v>0.4</v>
      </c>
      <c r="E8" s="153">
        <v>0.3</v>
      </c>
      <c r="F8" s="153">
        <v>0.15</v>
      </c>
      <c r="G8" s="74">
        <f>SUM(B8:F8)</f>
        <v>1</v>
      </c>
      <c r="H8" s="1"/>
      <c r="I8" s="1"/>
    </row>
    <row r="9" spans="1:9" ht="18.75" hidden="1" customHeight="1" x14ac:dyDescent="0.25">
      <c r="B9" s="205" t="s">
        <v>66</v>
      </c>
      <c r="C9" s="206">
        <v>0.45</v>
      </c>
      <c r="D9" s="230">
        <v>0.9</v>
      </c>
      <c r="E9" s="206">
        <v>1.33</v>
      </c>
      <c r="F9" s="206">
        <v>1.79</v>
      </c>
      <c r="G9" s="203"/>
    </row>
    <row r="10" spans="1:9" ht="12.75" customHeight="1" x14ac:dyDescent="0.25">
      <c r="B10" s="207" t="s">
        <v>1</v>
      </c>
      <c r="C10" s="208">
        <f>+(E5*C8)/C9</f>
        <v>66.666666666666671</v>
      </c>
      <c r="D10" s="231">
        <f>+(E5*D8)/D9</f>
        <v>88.888888888888886</v>
      </c>
      <c r="E10" s="208">
        <f>+(E5*E8)/E9</f>
        <v>45.112781954887218</v>
      </c>
      <c r="F10" s="208">
        <f>+(E5*F8)/F9</f>
        <v>16.759776536312849</v>
      </c>
      <c r="G10" s="203"/>
      <c r="H10" s="501" t="s">
        <v>203</v>
      </c>
      <c r="I10" s="501"/>
    </row>
    <row r="11" spans="1:9" ht="12.75" customHeight="1" x14ac:dyDescent="0.25">
      <c r="B11" s="209" t="s">
        <v>67</v>
      </c>
      <c r="C11" s="206">
        <v>180</v>
      </c>
      <c r="D11" s="230">
        <v>84</v>
      </c>
      <c r="E11" s="206">
        <v>55</v>
      </c>
      <c r="F11" s="206">
        <v>30</v>
      </c>
      <c r="G11" s="232"/>
      <c r="H11" s="501"/>
      <c r="I11" s="501"/>
    </row>
    <row r="12" spans="1:9" ht="12.75" customHeight="1" thickBot="1" x14ac:dyDescent="0.3">
      <c r="B12" s="115" t="s">
        <v>83</v>
      </c>
      <c r="C12" s="138">
        <v>15</v>
      </c>
      <c r="D12" s="138">
        <v>7</v>
      </c>
      <c r="E12" s="105">
        <v>11</v>
      </c>
      <c r="F12" s="105">
        <v>10</v>
      </c>
      <c r="G12" s="232"/>
      <c r="H12" s="501"/>
      <c r="I12" s="501"/>
    </row>
    <row r="13" spans="1:9" ht="18.75" hidden="1" customHeight="1" x14ac:dyDescent="0.25">
      <c r="B13" s="116" t="s">
        <v>63</v>
      </c>
      <c r="C13" s="138">
        <v>12</v>
      </c>
      <c r="D13" s="138">
        <v>12</v>
      </c>
      <c r="E13" s="105">
        <v>11</v>
      </c>
      <c r="F13" s="105">
        <v>11</v>
      </c>
      <c r="G13" s="232"/>
      <c r="H13" s="501"/>
      <c r="I13" s="501"/>
    </row>
    <row r="14" spans="1:9" ht="18.600000000000001" hidden="1" customHeight="1" thickBot="1" x14ac:dyDescent="0.3">
      <c r="B14" s="116" t="s">
        <v>64</v>
      </c>
      <c r="C14" s="138">
        <v>12</v>
      </c>
      <c r="D14" s="138">
        <v>12</v>
      </c>
      <c r="E14" s="105">
        <v>11</v>
      </c>
      <c r="F14" s="105">
        <v>11</v>
      </c>
      <c r="G14" s="232"/>
      <c r="H14" s="501"/>
      <c r="I14" s="501"/>
    </row>
    <row r="15" spans="1:9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232"/>
      <c r="H15" s="501"/>
      <c r="I15" s="501"/>
    </row>
    <row r="16" spans="1:9" ht="18" customHeight="1" thickBot="1" x14ac:dyDescent="0.3">
      <c r="B16" s="139" t="s">
        <v>84</v>
      </c>
      <c r="C16" s="119">
        <f>IF(ROUNDUP((C10-(C11*C15))/C12,0)&lt;0,0,ROUNDUP((C10-(C11*C15))/C12,0))</f>
        <v>5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2</v>
      </c>
      <c r="G16" s="528"/>
      <c r="H16" s="528"/>
      <c r="I16" s="528"/>
    </row>
    <row r="17" spans="1:19" ht="18" customHeight="1" x14ac:dyDescent="0.25">
      <c r="B17" s="140" t="s">
        <v>65</v>
      </c>
      <c r="C17" s="458">
        <f>(C15*C11)+(ROUNDUP(C16/2,0)*C13)+(ROUNDDOWN(C16/2,0)*C14)</f>
        <v>60</v>
      </c>
      <c r="D17" s="458">
        <f>(D15*D11)+(ROUNDUP(D16/2,0)*D13)+(ROUNDDOWN(D16/2,0)*D14)</f>
        <v>96</v>
      </c>
      <c r="E17" s="458">
        <f>(E15*E11)+(ROUNDUP(E16/2,0)*E13)+(ROUNDDOWN(E16/2,0)*E14)</f>
        <v>55</v>
      </c>
      <c r="F17" s="458">
        <f>(F15*F11)+(ROUNDUP(F16/2,0)*F13)+(ROUNDDOWN(F16/2,0)*F14)</f>
        <v>22</v>
      </c>
      <c r="G17" s="232"/>
    </row>
    <row r="18" spans="1:19" ht="12.75" customHeight="1" x14ac:dyDescent="0.25">
      <c r="B18" s="143" t="s">
        <v>70</v>
      </c>
      <c r="C18" s="78">
        <v>2952</v>
      </c>
      <c r="D18" s="78">
        <v>3268</v>
      </c>
      <c r="E18" s="78">
        <v>3372</v>
      </c>
      <c r="F18" s="78">
        <v>2783</v>
      </c>
    </row>
    <row r="19" spans="1:19" ht="12.75" customHeight="1" x14ac:dyDescent="0.25">
      <c r="B19" s="217" t="s">
        <v>69</v>
      </c>
      <c r="C19" s="218">
        <v>16.399999999999999</v>
      </c>
      <c r="D19" s="218">
        <v>38.9</v>
      </c>
      <c r="E19" s="218">
        <v>61.3</v>
      </c>
      <c r="F19" s="218">
        <v>92.7</v>
      </c>
    </row>
    <row r="20" spans="1:19" ht="12.75" hidden="1" customHeight="1" x14ac:dyDescent="0.25">
      <c r="B20" s="219" t="s">
        <v>71</v>
      </c>
      <c r="C20" s="78">
        <f>+C17*C9</f>
        <v>27</v>
      </c>
      <c r="D20" s="78">
        <f>+D17*D9</f>
        <v>86.4</v>
      </c>
      <c r="E20" s="78">
        <f>+E17*E9</f>
        <v>73.150000000000006</v>
      </c>
      <c r="F20" s="78">
        <f>+F17*F9</f>
        <v>39.380000000000003</v>
      </c>
    </row>
    <row r="21" spans="1:19" ht="12.75" customHeight="1" x14ac:dyDescent="0.25">
      <c r="B21" s="24"/>
      <c r="C21" s="25"/>
      <c r="D21" s="25"/>
      <c r="E21" s="25"/>
      <c r="F21" s="25"/>
    </row>
    <row r="22" spans="1:19" ht="12.75" customHeight="1" x14ac:dyDescent="0.25">
      <c r="B22" s="86" t="s">
        <v>88</v>
      </c>
      <c r="C22" s="25"/>
      <c r="D22" s="25"/>
      <c r="E22" s="25"/>
      <c r="F22" s="25"/>
    </row>
    <row r="23" spans="1:19" ht="12.75" customHeight="1" x14ac:dyDescent="0.25">
      <c r="B23" s="87" t="s">
        <v>49</v>
      </c>
    </row>
    <row r="24" spans="1:19" ht="18" customHeight="1" x14ac:dyDescent="0.25">
      <c r="A24" s="419"/>
      <c r="B24" s="419"/>
      <c r="C24" s="420" t="s">
        <v>92</v>
      </c>
      <c r="D24" s="421">
        <f>SUM(C20:F20)</f>
        <v>225.93</v>
      </c>
      <c r="E24" s="422" t="s">
        <v>277</v>
      </c>
      <c r="F24" s="422"/>
      <c r="G24" s="419"/>
      <c r="H24" s="419"/>
      <c r="I24" s="419"/>
    </row>
    <row r="25" spans="1:19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226"/>
      <c r="G25" s="35"/>
      <c r="H25" s="35"/>
      <c r="I25" s="35"/>
    </row>
    <row r="26" spans="1:19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498"/>
      <c r="I26" s="35"/>
    </row>
    <row r="27" spans="1:19" ht="18" customHeight="1" x14ac:dyDescent="0.25">
      <c r="A27" s="419"/>
      <c r="B27" s="419"/>
      <c r="C27" s="420" t="s">
        <v>95</v>
      </c>
      <c r="D27" s="421">
        <f>SUM(C17*C19+D17*D19+E17*E19+F17*F19)</f>
        <v>10129.299999999999</v>
      </c>
      <c r="E27" s="422" t="s">
        <v>3</v>
      </c>
      <c r="F27" s="422"/>
      <c r="G27" s="419"/>
      <c r="H27" s="419"/>
      <c r="I27" s="419"/>
    </row>
    <row r="28" spans="1:19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17" customFormat="1" ht="17.399999999999999" x14ac:dyDescent="0.25">
      <c r="A31" s="23"/>
      <c r="B31" s="23"/>
      <c r="C31" s="23"/>
      <c r="D31" s="23"/>
      <c r="E31" s="23"/>
      <c r="F31" s="23"/>
      <c r="G31" s="23"/>
      <c r="H31" s="23"/>
      <c r="I31" s="223" t="s">
        <v>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s="17" customFormat="1" x14ac:dyDescent="0.25">
      <c r="A32" s="23"/>
      <c r="B32" s="23"/>
      <c r="C32" s="23"/>
      <c r="D32" s="23"/>
      <c r="E32" s="23"/>
      <c r="F32" s="23"/>
      <c r="G32" s="23"/>
      <c r="H32" s="23"/>
      <c r="I32" s="11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s="17" customFormat="1" x14ac:dyDescent="0.25">
      <c r="A33" s="23"/>
      <c r="B33" s="23"/>
      <c r="C33" s="23"/>
      <c r="D33" s="23"/>
      <c r="E33" s="23"/>
      <c r="F33" s="23"/>
      <c r="G33" s="23"/>
      <c r="H33" s="23"/>
      <c r="I33" s="224" t="s">
        <v>55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s="17" customFormat="1" x14ac:dyDescent="0.25">
      <c r="A34" s="23"/>
      <c r="B34" s="23"/>
      <c r="C34" s="23"/>
      <c r="D34" s="23"/>
      <c r="E34" s="23"/>
      <c r="F34" s="23"/>
      <c r="G34" s="23"/>
      <c r="H34" s="23"/>
      <c r="I34" s="199" t="s">
        <v>54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  <c r="I35" s="199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  <c r="I36" s="199" t="s">
        <v>6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3"/>
      <c r="I37" s="199" t="s">
        <v>58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199" t="s">
        <v>10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25" t="s">
        <v>7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s="17" customFormat="1" ht="12.75" customHeight="1" x14ac:dyDescent="0.25">
      <c r="A40" s="23"/>
      <c r="B40" s="23"/>
      <c r="C40" s="23"/>
      <c r="D40" s="23"/>
      <c r="E40" s="23"/>
      <c r="F40" s="23"/>
      <c r="G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114"/>
    </row>
    <row r="47" spans="1:19" ht="21" customHeight="1" x14ac:dyDescent="0.25">
      <c r="A47" s="12"/>
      <c r="B47" s="13"/>
      <c r="C47" s="112"/>
      <c r="D47" s="112"/>
      <c r="E47" s="112"/>
      <c r="F47" s="467"/>
      <c r="G47" s="112"/>
      <c r="H47" s="112"/>
      <c r="I47" s="112"/>
    </row>
    <row r="48" spans="1:19" ht="21" customHeight="1" x14ac:dyDescent="0.25">
      <c r="A48" s="13"/>
      <c r="B48" s="11"/>
      <c r="C48" s="112"/>
      <c r="D48" s="112"/>
      <c r="E48" s="112"/>
      <c r="F48" s="467"/>
      <c r="G48" s="112"/>
      <c r="H48" s="112"/>
      <c r="I48" s="112"/>
    </row>
  </sheetData>
  <sheetProtection algorithmName="SHA-512" hashValue="Ph2jzptDT/qX8p7kGkbN/ohrZEvZXogNICq/+D4CuUXjQBt3FsSowtaLBGiN9Yu7rbW85WfPRSTLmQHSvB6gWQ==" saltValue="INnk/AJnswNNcgKRshAWaA==" spinCount="100000" sheet="1" selectLockedCells="1"/>
  <mergeCells count="4">
    <mergeCell ref="A1:I1"/>
    <mergeCell ref="H10:I15"/>
    <mergeCell ref="G16:I16"/>
    <mergeCell ref="B26:H26"/>
  </mergeCells>
  <phoneticPr fontId="2" type="noConversion"/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5F5DD468-71AF-4C9F-852C-09194ACC76B2}"/>
  </dataValidations>
  <hyperlinks>
    <hyperlink ref="I34" r:id="rId1" xr:uid="{AA3C196B-9828-4094-A9A7-4181F29352F7}"/>
    <hyperlink ref="I38" r:id="rId2" xr:uid="{DEC11D4B-5369-4CB8-8C49-AF94070003DC}"/>
    <hyperlink ref="I37" r:id="rId3" xr:uid="{9D168619-8DDE-4A7F-852A-8E38C169BACF}"/>
    <hyperlink ref="I36" r:id="rId4" xr:uid="{C4ED53FA-525D-404F-99AB-A329460A173C}"/>
  </hyperlinks>
  <pageMargins left="0.75" right="0.75" top="1" bottom="1" header="0.5" footer="0.5"/>
  <pageSetup orientation="portrait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8"/>
  </sheetPr>
  <dimension ref="A1:J49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s="314" customFormat="1" ht="24" customHeight="1" x14ac:dyDescent="0.25">
      <c r="A1" s="496" t="s">
        <v>165</v>
      </c>
      <c r="B1" s="496"/>
      <c r="C1" s="496"/>
      <c r="D1" s="496"/>
      <c r="E1" s="496"/>
      <c r="F1" s="496"/>
      <c r="G1" s="496"/>
      <c r="H1" s="496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</row>
    <row r="5" spans="1: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23</v>
      </c>
      <c r="D7" s="102" t="s">
        <v>24</v>
      </c>
      <c r="E7" s="102" t="s">
        <v>25</v>
      </c>
      <c r="F7" s="102" t="s">
        <v>26</v>
      </c>
      <c r="G7" s="4"/>
    </row>
    <row r="8" spans="1:8" ht="18" customHeight="1" thickTop="1" x14ac:dyDescent="0.25">
      <c r="A8" s="22"/>
      <c r="B8" s="103" t="s">
        <v>11</v>
      </c>
      <c r="C8" s="88">
        <v>0.2</v>
      </c>
      <c r="D8" s="89">
        <v>0.2</v>
      </c>
      <c r="E8" s="89">
        <v>0.4</v>
      </c>
      <c r="F8" s="89">
        <v>0.2</v>
      </c>
      <c r="G8" s="74">
        <f>SUM(C8,D8,E8,F8)</f>
        <v>1</v>
      </c>
    </row>
    <row r="9" spans="1:8" ht="18.75" hidden="1" customHeight="1" x14ac:dyDescent="0.25">
      <c r="A9" s="22"/>
      <c r="B9" s="51" t="s">
        <v>66</v>
      </c>
      <c r="C9" s="104">
        <v>0.48</v>
      </c>
      <c r="D9" s="105">
        <v>0.69</v>
      </c>
      <c r="E9" s="105">
        <v>0.96</v>
      </c>
      <c r="F9" s="105">
        <v>1.45</v>
      </c>
      <c r="G9" s="22"/>
    </row>
    <row r="10" spans="1:8" ht="12.75" customHeight="1" x14ac:dyDescent="0.25">
      <c r="A10" s="22"/>
      <c r="B10" s="50" t="s">
        <v>1</v>
      </c>
      <c r="C10" s="106">
        <f>+(E5*C8)/C9</f>
        <v>83.333333333333343</v>
      </c>
      <c r="D10" s="107">
        <f>+(E5*D8)/D9</f>
        <v>57.971014492753625</v>
      </c>
      <c r="E10" s="107">
        <f>+(E5*E8)/E9</f>
        <v>83.333333333333343</v>
      </c>
      <c r="F10" s="107">
        <f>+(E5*F8)/F9</f>
        <v>27.586206896551726</v>
      </c>
      <c r="G10" s="503" t="s">
        <v>89</v>
      </c>
      <c r="H10" s="501"/>
    </row>
    <row r="11" spans="1:8" ht="12.75" customHeight="1" x14ac:dyDescent="0.25">
      <c r="A11" s="22"/>
      <c r="B11" s="108" t="s">
        <v>67</v>
      </c>
      <c r="C11" s="104">
        <v>156</v>
      </c>
      <c r="D11" s="105">
        <v>95</v>
      </c>
      <c r="E11" s="105">
        <v>63</v>
      </c>
      <c r="F11" s="105">
        <v>40</v>
      </c>
      <c r="G11" s="503"/>
      <c r="H11" s="501"/>
    </row>
    <row r="12" spans="1:8" ht="12.75" customHeight="1" thickBot="1" x14ac:dyDescent="0.3">
      <c r="A12" s="22"/>
      <c r="B12" s="51" t="s">
        <v>83</v>
      </c>
      <c r="C12" s="60">
        <v>12</v>
      </c>
      <c r="D12" s="61">
        <v>10.6</v>
      </c>
      <c r="E12" s="61">
        <v>10.5</v>
      </c>
      <c r="F12" s="63">
        <v>10</v>
      </c>
      <c r="G12" s="503"/>
      <c r="H12" s="501"/>
    </row>
    <row r="13" spans="1:8" ht="18.75" hidden="1" customHeight="1" x14ac:dyDescent="0.25">
      <c r="A13" s="22"/>
      <c r="B13" s="50" t="s">
        <v>63</v>
      </c>
      <c r="C13" s="62">
        <v>12</v>
      </c>
      <c r="D13" s="63">
        <v>11</v>
      </c>
      <c r="E13" s="63">
        <v>11</v>
      </c>
      <c r="F13" s="63">
        <v>10</v>
      </c>
      <c r="G13" s="503"/>
      <c r="H13" s="501"/>
    </row>
    <row r="14" spans="1:8" ht="18.75" hidden="1" customHeight="1" thickBot="1" x14ac:dyDescent="0.3">
      <c r="A14" s="22"/>
      <c r="B14" s="50" t="s">
        <v>64</v>
      </c>
      <c r="C14" s="62">
        <v>12</v>
      </c>
      <c r="D14" s="63">
        <v>10</v>
      </c>
      <c r="E14" s="63">
        <v>10</v>
      </c>
      <c r="F14" s="63">
        <v>10</v>
      </c>
      <c r="G14" s="503"/>
      <c r="H14" s="501"/>
    </row>
    <row r="15" spans="1:8" ht="18" customHeight="1" thickBot="1" x14ac:dyDescent="0.3">
      <c r="A15" s="22"/>
      <c r="B15" s="52" t="s">
        <v>68</v>
      </c>
      <c r="C15" s="64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503"/>
      <c r="H15" s="501"/>
    </row>
    <row r="16" spans="1:8" ht="18" customHeight="1" thickBot="1" x14ac:dyDescent="0.3">
      <c r="A16" s="22"/>
      <c r="B16" s="52" t="s">
        <v>84</v>
      </c>
      <c r="C16" s="64">
        <f>IF(ROUNDUP((C10-(C11*C15))/C12,0)&lt;0,0,ROUNDUP((C10-(C11*C15))/C12,0))</f>
        <v>7</v>
      </c>
      <c r="D16" s="65">
        <f>IF(ROUNDUP((D10-(D11*D15))/D12,0)&lt;0,0,ROUNDUP((D10-(D11*D15))/D12,0))</f>
        <v>6</v>
      </c>
      <c r="E16" s="65">
        <f>IF(ROUNDUP((E10-(E11*E15))/E12,0)&lt;0,0,ROUNDUP((E10-(E11*E15))/E12,0))</f>
        <v>2</v>
      </c>
      <c r="F16" s="65">
        <f>IF(ROUNDUP((F10-(F11*F15))/F12,0)&lt;0,0,ROUNDUP((F10-(F11*F15))/F12,0))</f>
        <v>3</v>
      </c>
      <c r="G16" s="82"/>
      <c r="H16" s="83"/>
    </row>
    <row r="17" spans="1:10" ht="18" customHeight="1" x14ac:dyDescent="0.25">
      <c r="A17" s="22"/>
      <c r="B17" s="53" t="s">
        <v>65</v>
      </c>
      <c r="C17" s="66">
        <f>(C15*C11)+(ROUNDUP(C16/2,0)*C13)+(ROUNDDOWN(C16/2,0)*C14)</f>
        <v>84</v>
      </c>
      <c r="D17" s="67">
        <f>(D15*D11)+(ROUNDUP(D16/2,0)*D13)+(ROUNDDOWN(D16/2,0)*D14)</f>
        <v>63</v>
      </c>
      <c r="E17" s="67">
        <f>(E15*E11)+(ROUNDUP(E16/2,0)*E13)+(ROUNDDOWN(E16/2,0)*E14)</f>
        <v>84</v>
      </c>
      <c r="F17" s="67">
        <f>(F15*F11)+(ROUNDUP(F16/2,0)*F13)+(ROUNDDOWN(F16/2,0)*F14)</f>
        <v>30</v>
      </c>
      <c r="G17" s="22"/>
    </row>
    <row r="18" spans="1:10" ht="12.75" customHeight="1" x14ac:dyDescent="0.25">
      <c r="A18" s="22"/>
      <c r="B18" s="144" t="s">
        <v>70</v>
      </c>
      <c r="C18" s="25">
        <f>C11*C19</f>
        <v>2642.6400000000003</v>
      </c>
      <c r="D18" s="25">
        <f>D11*D19</f>
        <v>2517.5</v>
      </c>
      <c r="E18" s="25">
        <f>E11*E19</f>
        <v>2576.6999999999998</v>
      </c>
      <c r="F18" s="25">
        <f>F11*F19</f>
        <v>2396</v>
      </c>
      <c r="G18" s="22"/>
    </row>
    <row r="19" spans="1:10" ht="12.75" customHeight="1" x14ac:dyDescent="0.25">
      <c r="A19" s="22"/>
      <c r="B19" s="144" t="s">
        <v>69</v>
      </c>
      <c r="C19" s="33">
        <v>16.940000000000001</v>
      </c>
      <c r="D19" s="26">
        <v>26.5</v>
      </c>
      <c r="E19" s="26">
        <v>40.9</v>
      </c>
      <c r="F19" s="26">
        <v>59.9</v>
      </c>
      <c r="G19" s="22"/>
    </row>
    <row r="20" spans="1:10" ht="12.75" hidden="1" customHeight="1" x14ac:dyDescent="0.25">
      <c r="A20" s="22"/>
      <c r="B20" s="24" t="s">
        <v>71</v>
      </c>
      <c r="C20" s="25">
        <f>+C17*C9</f>
        <v>40.32</v>
      </c>
      <c r="D20" s="25">
        <f>+D17*D9</f>
        <v>43.47</v>
      </c>
      <c r="E20" s="25">
        <f>+E17*E9</f>
        <v>80.64</v>
      </c>
      <c r="F20" s="25">
        <f>+F17*F9</f>
        <v>43.5</v>
      </c>
      <c r="G20" s="22"/>
    </row>
    <row r="21" spans="1:10" ht="12.75" customHeight="1" x14ac:dyDescent="0.25">
      <c r="A21" s="22"/>
      <c r="B21" s="24"/>
      <c r="C21" s="25"/>
      <c r="D21" s="25"/>
      <c r="E21" s="25"/>
      <c r="F21" s="25"/>
      <c r="G21" s="22"/>
    </row>
    <row r="22" spans="1:10" ht="12.75" customHeight="1" x14ac:dyDescent="0.25">
      <c r="A22" s="22"/>
      <c r="B22" s="86" t="s">
        <v>88</v>
      </c>
      <c r="C22" s="25"/>
      <c r="D22" s="25"/>
      <c r="E22" s="25"/>
      <c r="F22" s="25"/>
      <c r="G22" s="22"/>
    </row>
    <row r="23" spans="1:10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10" ht="18" customHeight="1" x14ac:dyDescent="0.25">
      <c r="A24" s="34"/>
      <c r="B24" s="34"/>
      <c r="C24" s="68" t="s">
        <v>92</v>
      </c>
      <c r="D24" s="164">
        <f>SUM(C20:F20)</f>
        <v>207.93</v>
      </c>
      <c r="E24" s="72" t="s">
        <v>164</v>
      </c>
      <c r="F24" s="34"/>
      <c r="G24" s="34"/>
      <c r="H24" s="34"/>
      <c r="J24" s="22"/>
    </row>
    <row r="25" spans="1:10" ht="18" customHeight="1" x14ac:dyDescent="0.25">
      <c r="A25" s="39"/>
      <c r="B25" s="39"/>
      <c r="C25" s="69" t="s">
        <v>94</v>
      </c>
      <c r="D25" s="70">
        <f>ROUND(+D24/30,0)</f>
        <v>7</v>
      </c>
      <c r="E25" s="73" t="s">
        <v>4</v>
      </c>
      <c r="F25" s="39"/>
      <c r="G25" s="39"/>
      <c r="H25" s="35"/>
    </row>
    <row r="26" spans="1:10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0" ht="18" customHeight="1" x14ac:dyDescent="0.25">
      <c r="A27" s="34"/>
      <c r="B27" s="34"/>
      <c r="C27" s="68" t="s">
        <v>95</v>
      </c>
      <c r="D27" s="164">
        <f>SUM(C17*C19+D17*D19+E17*E19+F17*F19)</f>
        <v>8325.06</v>
      </c>
      <c r="E27" s="72" t="s">
        <v>3</v>
      </c>
      <c r="F27" s="34"/>
      <c r="G27" s="34"/>
      <c r="H27" s="34"/>
    </row>
    <row r="28" spans="1:10" s="11" customFormat="1" ht="12.75" customHeight="1" x14ac:dyDescent="0.25">
      <c r="A28" s="13"/>
      <c r="B28" s="13"/>
      <c r="C28" s="13"/>
      <c r="D28" s="13"/>
      <c r="E28" s="13"/>
      <c r="F28" s="13"/>
      <c r="G28" s="13"/>
    </row>
    <row r="29" spans="1:10" s="11" customFormat="1" ht="12.75" customHeight="1" x14ac:dyDescent="0.25">
      <c r="A29" s="13"/>
      <c r="B29" s="13"/>
      <c r="C29" s="13"/>
      <c r="D29" s="13"/>
    </row>
    <row r="30" spans="1:10" s="11" customFormat="1" ht="12.75" customHeight="1" x14ac:dyDescent="0.25">
      <c r="A30" s="13"/>
      <c r="B30" s="13"/>
      <c r="C30" s="13"/>
      <c r="D30" s="13"/>
      <c r="E30" s="13"/>
    </row>
    <row r="31" spans="1:10" s="11" customFormat="1" ht="18" customHeight="1" x14ac:dyDescent="0.25">
      <c r="A31" s="13"/>
      <c r="B31" s="13"/>
      <c r="C31" s="13"/>
      <c r="D31" s="13"/>
      <c r="E31" s="13"/>
      <c r="H31" s="223" t="s">
        <v>9</v>
      </c>
    </row>
    <row r="32" spans="1:10" s="11" customFormat="1" ht="12.75" customHeight="1" x14ac:dyDescent="0.25">
      <c r="A32" s="13"/>
      <c r="B32" s="13"/>
      <c r="C32" s="13"/>
      <c r="D32" s="13"/>
      <c r="E32" s="13"/>
      <c r="G32" s="13"/>
    </row>
    <row r="33" spans="1:8" s="11" customFormat="1" ht="12.75" customHeight="1" x14ac:dyDescent="0.25">
      <c r="A33" s="13"/>
      <c r="B33" s="13"/>
      <c r="C33" s="13"/>
      <c r="D33" s="13"/>
      <c r="E33" s="13"/>
      <c r="G33" s="13"/>
      <c r="H33" s="224" t="s">
        <v>55</v>
      </c>
    </row>
    <row r="34" spans="1:8" s="11" customFormat="1" ht="12.75" customHeight="1" x14ac:dyDescent="0.25">
      <c r="A34" s="13"/>
      <c r="B34" s="13"/>
      <c r="C34" s="13"/>
      <c r="D34" s="13"/>
      <c r="E34" s="13"/>
      <c r="G34" s="13"/>
      <c r="H34" s="199" t="s">
        <v>54</v>
      </c>
    </row>
    <row r="35" spans="1:8" s="11" customFormat="1" ht="12.75" customHeight="1" x14ac:dyDescent="0.25">
      <c r="A35" s="13"/>
      <c r="B35" s="13"/>
      <c r="C35" s="13"/>
      <c r="D35" s="13"/>
      <c r="E35" s="13"/>
      <c r="G35" s="13"/>
      <c r="H35" s="268"/>
    </row>
    <row r="36" spans="1:8" s="11" customFormat="1" ht="12.75" customHeight="1" x14ac:dyDescent="0.25">
      <c r="A36" s="13"/>
      <c r="B36" s="13"/>
      <c r="C36" s="13"/>
      <c r="D36" s="13"/>
      <c r="E36" s="13"/>
      <c r="G36" s="13"/>
      <c r="H36" s="199" t="s">
        <v>6</v>
      </c>
    </row>
    <row r="37" spans="1:8" s="11" customFormat="1" ht="12.75" customHeight="1" x14ac:dyDescent="0.25">
      <c r="A37" s="13"/>
      <c r="B37" s="13"/>
      <c r="C37" s="13"/>
      <c r="D37" s="13"/>
      <c r="E37" s="13"/>
      <c r="G37" s="13"/>
      <c r="H37" s="199" t="s">
        <v>58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8"/>
      <c r="G38" s="13"/>
      <c r="H38" s="199" t="s">
        <v>10</v>
      </c>
    </row>
    <row r="39" spans="1:8" s="11" customFormat="1" ht="12.75" customHeight="1" x14ac:dyDescent="0.25">
      <c r="A39" s="13"/>
      <c r="B39" s="13"/>
      <c r="C39" s="13"/>
      <c r="D39" s="13"/>
      <c r="E39" s="13"/>
      <c r="F39" s="18"/>
      <c r="G39" s="13"/>
      <c r="H39" s="270" t="s">
        <v>7</v>
      </c>
    </row>
    <row r="40" spans="1:8" s="11" customFormat="1" ht="12.75" customHeight="1" x14ac:dyDescent="0.25">
      <c r="A40" s="13"/>
      <c r="B40" s="13"/>
      <c r="C40" s="13"/>
      <c r="D40" s="13"/>
      <c r="E40" s="13"/>
      <c r="F40" s="18"/>
      <c r="G40" s="13"/>
    </row>
    <row r="41" spans="1:8" s="11" customFormat="1" ht="12.75" customHeight="1" x14ac:dyDescent="0.25">
      <c r="A41" s="13"/>
      <c r="B41" s="13"/>
      <c r="C41" s="13"/>
      <c r="D41" s="13"/>
      <c r="E41" s="13"/>
      <c r="F41" s="18"/>
      <c r="G41" s="13"/>
    </row>
    <row r="42" spans="1:8" s="11" customFormat="1" ht="12.75" customHeight="1" x14ac:dyDescent="0.25">
      <c r="A42" s="13"/>
      <c r="B42" s="13"/>
      <c r="C42" s="13"/>
      <c r="D42" s="13"/>
      <c r="E42" s="13"/>
      <c r="F42" s="18"/>
      <c r="G42" s="13"/>
    </row>
    <row r="43" spans="1:8" s="11" customFormat="1" ht="12.75" customHeight="1" x14ac:dyDescent="0.25">
      <c r="A43" s="13"/>
      <c r="B43" s="13"/>
      <c r="C43" s="13"/>
      <c r="D43" s="13"/>
      <c r="E43" s="13"/>
      <c r="F43" s="18"/>
      <c r="G43" s="13"/>
    </row>
    <row r="44" spans="1:8" s="11" customFormat="1" ht="12.75" customHeight="1" x14ac:dyDescent="0.25">
      <c r="A44" s="13"/>
      <c r="B44" s="13"/>
      <c r="C44" s="13"/>
      <c r="D44" s="13"/>
      <c r="E44" s="13"/>
      <c r="F44" s="18"/>
      <c r="G44" s="13"/>
    </row>
    <row r="45" spans="1:8" s="11" customFormat="1" ht="12.75" customHeight="1" x14ac:dyDescent="0.25">
      <c r="A45" s="13"/>
      <c r="B45" s="13"/>
      <c r="C45" s="13"/>
      <c r="D45" s="13"/>
      <c r="E45" s="13"/>
      <c r="F45" s="18"/>
      <c r="G45" s="13"/>
    </row>
    <row r="46" spans="1: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spans="1:7" x14ac:dyDescent="0.25">
      <c r="A49" s="22"/>
      <c r="G49" s="8"/>
    </row>
  </sheetData>
  <sheetProtection algorithmName="SHA-512" hashValue="CJnKzZ8Nu67FNjJ2uTX9uFqM4Rk4OR0iLcjkMZ1tjBYF6ySe/qRP5BZBM9UidBxCwuPZN25SNJStpCeF7pN89w==" saltValue="hIzIz3NATFDsmFe9uFj6nQ==" spinCount="100000" sheet="1" selectLockedCells="1"/>
  <mergeCells count="3">
    <mergeCell ref="A1:H1"/>
    <mergeCell ref="B26:G26"/>
    <mergeCell ref="G10:H15"/>
  </mergeCells>
  <phoneticPr fontId="0" type="noConversion"/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 " sqref="E4" xr:uid="{00000000-0002-0000-0300-000000000000}">
      <formula1>5</formula1>
      <formula2>100</formula2>
    </dataValidation>
  </dataValidations>
  <hyperlinks>
    <hyperlink ref="H38" r:id="rId1" xr:uid="{00000000-0004-0000-0300-000000000000}"/>
    <hyperlink ref="H37" r:id="rId2" xr:uid="{00000000-0004-0000-0300-000001000000}"/>
    <hyperlink ref="H36" r:id="rId3" xr:uid="{00000000-0004-0000-0300-000002000000}"/>
    <hyperlink ref="H34" r:id="rId4" xr:uid="{00000000-0004-0000-03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D590-809A-4507-B7D0-CEEE8BBFFE0D}">
  <sheetPr>
    <tabColor theme="3"/>
  </sheetPr>
  <dimension ref="A1:S48"/>
  <sheetViews>
    <sheetView showGridLines="0" showRowColHeaders="0" zoomScaleNormal="100" workbookViewId="0">
      <selection activeCell="I34" sqref="I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7" width="10.6640625" style="23" customWidth="1"/>
    <col min="8" max="8" width="14.6640625" style="23" customWidth="1"/>
    <col min="9" max="9" width="8.6640625" style="23" customWidth="1"/>
    <col min="10" max="16384" width="9.109375" style="23"/>
  </cols>
  <sheetData>
    <row r="1" spans="1:9" ht="24" customHeight="1" x14ac:dyDescent="0.25">
      <c r="A1" s="561" t="s">
        <v>327</v>
      </c>
      <c r="B1" s="561"/>
      <c r="C1" s="561"/>
      <c r="D1" s="561"/>
      <c r="E1" s="561"/>
      <c r="F1" s="561"/>
      <c r="G1" s="561"/>
      <c r="H1" s="561"/>
      <c r="I1" s="561"/>
    </row>
    <row r="2" spans="1:9" ht="12.75" customHeight="1" x14ac:dyDescent="0.25"/>
    <row r="3" spans="1:9" ht="18" customHeight="1" x14ac:dyDescent="0.3">
      <c r="B3" s="41"/>
      <c r="C3" s="36"/>
      <c r="D3" s="94" t="s">
        <v>86</v>
      </c>
      <c r="E3" s="96">
        <v>200</v>
      </c>
      <c r="F3"/>
      <c r="G3" s="3"/>
      <c r="H3" s="3"/>
      <c r="I3" s="3"/>
    </row>
    <row r="4" spans="1:9" ht="18" customHeight="1" x14ac:dyDescent="0.3">
      <c r="B4" s="35"/>
      <c r="C4" s="36"/>
      <c r="D4" s="95" t="s">
        <v>13</v>
      </c>
      <c r="E4" s="97">
        <v>0</v>
      </c>
      <c r="F4"/>
      <c r="G4" s="3"/>
      <c r="H4" s="3"/>
      <c r="I4" s="3"/>
    </row>
    <row r="5" spans="1:9" ht="18" customHeight="1" x14ac:dyDescent="0.3">
      <c r="B5" s="35"/>
      <c r="C5" s="36"/>
      <c r="D5" s="95" t="s">
        <v>85</v>
      </c>
      <c r="E5" s="344">
        <f>E3+E3*E4/100</f>
        <v>200</v>
      </c>
      <c r="F5"/>
      <c r="G5" s="3"/>
      <c r="H5" s="3"/>
      <c r="I5" s="3"/>
    </row>
    <row r="6" spans="1:9" ht="12.75" customHeight="1" x14ac:dyDescent="0.25">
      <c r="B6" s="12"/>
      <c r="C6" s="200"/>
      <c r="D6" s="200"/>
      <c r="E6" s="200"/>
      <c r="F6" s="22"/>
    </row>
    <row r="7" spans="1:9" ht="18" customHeight="1" thickBot="1" x14ac:dyDescent="0.35">
      <c r="B7" s="201" t="s">
        <v>0</v>
      </c>
      <c r="C7" s="202" t="s">
        <v>321</v>
      </c>
      <c r="D7" s="227" t="s">
        <v>328</v>
      </c>
      <c r="E7" s="228" t="s">
        <v>322</v>
      </c>
      <c r="F7" s="468" t="s">
        <v>325</v>
      </c>
      <c r="G7" s="229"/>
      <c r="H7" s="1"/>
      <c r="I7" s="1"/>
    </row>
    <row r="8" spans="1:9" ht="18" customHeight="1" thickTop="1" x14ac:dyDescent="0.3">
      <c r="B8" s="204" t="s">
        <v>11</v>
      </c>
      <c r="C8" s="153">
        <v>0.2</v>
      </c>
      <c r="D8" s="154">
        <v>0.2</v>
      </c>
      <c r="E8" s="153">
        <v>0.4</v>
      </c>
      <c r="F8" s="153">
        <v>0.2</v>
      </c>
      <c r="G8" s="74">
        <f>SUM(B8:F8)</f>
        <v>1</v>
      </c>
      <c r="H8" s="1"/>
      <c r="I8" s="1"/>
    </row>
    <row r="9" spans="1:9" ht="18.75" hidden="1" customHeight="1" x14ac:dyDescent="0.25">
      <c r="B9" s="205" t="s">
        <v>66</v>
      </c>
      <c r="C9" s="206">
        <v>0.45</v>
      </c>
      <c r="D9" s="230">
        <v>0.67</v>
      </c>
      <c r="E9" s="206">
        <v>0.89</v>
      </c>
      <c r="F9" s="206">
        <v>1.33</v>
      </c>
      <c r="G9" s="203"/>
    </row>
    <row r="10" spans="1:9" ht="12.75" customHeight="1" x14ac:dyDescent="0.25">
      <c r="B10" s="207" t="s">
        <v>1</v>
      </c>
      <c r="C10" s="208">
        <f>+(E5*C8)/C9</f>
        <v>88.888888888888886</v>
      </c>
      <c r="D10" s="231">
        <f>+(E5*D8)/D9</f>
        <v>59.701492537313428</v>
      </c>
      <c r="E10" s="208">
        <f>+(E5*E8)/E9</f>
        <v>89.887640449438194</v>
      </c>
      <c r="F10" s="208">
        <f>+(E5*F8)/F9</f>
        <v>30.075187969924812</v>
      </c>
      <c r="G10" s="203"/>
      <c r="H10" s="501" t="s">
        <v>203</v>
      </c>
      <c r="I10" s="501"/>
    </row>
    <row r="11" spans="1:9" ht="12.75" customHeight="1" x14ac:dyDescent="0.25">
      <c r="B11" s="209" t="s">
        <v>67</v>
      </c>
      <c r="C11" s="206">
        <v>180</v>
      </c>
      <c r="D11" s="230">
        <v>120</v>
      </c>
      <c r="E11" s="206">
        <v>55</v>
      </c>
      <c r="F11" s="206">
        <v>30</v>
      </c>
      <c r="G11" s="232"/>
      <c r="H11" s="501"/>
      <c r="I11" s="501"/>
    </row>
    <row r="12" spans="1:9" ht="12.75" customHeight="1" thickBot="1" x14ac:dyDescent="0.3">
      <c r="B12" s="115" t="s">
        <v>83</v>
      </c>
      <c r="C12" s="138">
        <v>15</v>
      </c>
      <c r="D12" s="138">
        <v>13</v>
      </c>
      <c r="E12" s="105">
        <v>11</v>
      </c>
      <c r="F12" s="105">
        <v>10</v>
      </c>
      <c r="G12" s="232"/>
      <c r="H12" s="501"/>
      <c r="I12" s="501"/>
    </row>
    <row r="13" spans="1:9" ht="18.75" hidden="1" customHeight="1" x14ac:dyDescent="0.25">
      <c r="B13" s="116" t="s">
        <v>63</v>
      </c>
      <c r="C13" s="138">
        <v>12</v>
      </c>
      <c r="D13" s="138">
        <v>12</v>
      </c>
      <c r="E13" s="105">
        <v>11</v>
      </c>
      <c r="F13" s="105">
        <v>11</v>
      </c>
      <c r="G13" s="232"/>
      <c r="H13" s="501"/>
      <c r="I13" s="501"/>
    </row>
    <row r="14" spans="1:9" ht="18.600000000000001" hidden="1" customHeight="1" thickBot="1" x14ac:dyDescent="0.3">
      <c r="B14" s="116" t="s">
        <v>64</v>
      </c>
      <c r="C14" s="138">
        <v>12</v>
      </c>
      <c r="D14" s="138">
        <v>13</v>
      </c>
      <c r="E14" s="105">
        <v>11</v>
      </c>
      <c r="F14" s="105">
        <v>11</v>
      </c>
      <c r="G14" s="232"/>
      <c r="H14" s="501"/>
      <c r="I14" s="501"/>
    </row>
    <row r="15" spans="1:9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1</v>
      </c>
      <c r="G15" s="232"/>
      <c r="H15" s="501"/>
      <c r="I15" s="501"/>
    </row>
    <row r="16" spans="1:9" ht="18" customHeight="1" thickBot="1" x14ac:dyDescent="0.3">
      <c r="B16" s="139" t="s">
        <v>84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5</v>
      </c>
      <c r="E16" s="119">
        <f>IF(ROUNDUP((E10-(E11*E15))/E12,0)&lt;0,0,ROUNDUP((E10-(E11*E15))/E12,0))</f>
        <v>4</v>
      </c>
      <c r="F16" s="119">
        <f>IF(ROUNDUP((F10-(F11*F15))/F12,0)&lt;0,0,ROUNDUP((F10-(F11*F15))/F12,0))</f>
        <v>1</v>
      </c>
      <c r="G16" s="528"/>
      <c r="H16" s="528"/>
      <c r="I16" s="528"/>
    </row>
    <row r="17" spans="1:19" ht="18" customHeight="1" x14ac:dyDescent="0.25">
      <c r="B17" s="140" t="s">
        <v>65</v>
      </c>
      <c r="C17" s="458">
        <f>(C15*C11)+(ROUNDUP(C16/2,0)*C13)+(ROUNDDOWN(C16/2,0)*C14)</f>
        <v>72</v>
      </c>
      <c r="D17" s="458">
        <f>(D15*D11)+(ROUNDUP(D16/2,0)*D13)+(ROUNDDOWN(D16/2,0)*D14)</f>
        <v>62</v>
      </c>
      <c r="E17" s="458">
        <f>(E15*E11)+(ROUNDUP(E16/2,0)*E13)+(ROUNDDOWN(E16/2,0)*E14)</f>
        <v>99</v>
      </c>
      <c r="F17" s="458">
        <f>(F15*F11)+(ROUNDUP(F16/2,0)*F13)+(ROUNDDOWN(F16/2,0)*F14)</f>
        <v>41</v>
      </c>
      <c r="G17" s="232"/>
    </row>
    <row r="18" spans="1:19" ht="12.75" customHeight="1" x14ac:dyDescent="0.25">
      <c r="B18" s="143" t="s">
        <v>70</v>
      </c>
      <c r="C18" s="78">
        <v>2952</v>
      </c>
      <c r="D18" s="78">
        <v>3595</v>
      </c>
      <c r="E18" s="78">
        <v>3268</v>
      </c>
      <c r="F18" s="78">
        <v>3372</v>
      </c>
    </row>
    <row r="19" spans="1:19" ht="12.75" customHeight="1" x14ac:dyDescent="0.25">
      <c r="B19" s="217" t="s">
        <v>69</v>
      </c>
      <c r="C19" s="218">
        <v>16.399999999999999</v>
      </c>
      <c r="D19" s="218">
        <f>14.98*2</f>
        <v>29.96</v>
      </c>
      <c r="E19" s="218">
        <v>38.9</v>
      </c>
      <c r="F19" s="218">
        <v>61.3</v>
      </c>
    </row>
    <row r="20" spans="1:19" ht="12.75" hidden="1" customHeight="1" x14ac:dyDescent="0.25">
      <c r="B20" s="219" t="s">
        <v>71</v>
      </c>
      <c r="C20" s="78">
        <f>+C17*C9</f>
        <v>32.4</v>
      </c>
      <c r="D20" s="78">
        <f>+D17*D9</f>
        <v>41.54</v>
      </c>
      <c r="E20" s="78">
        <f>+E17*E9</f>
        <v>88.11</v>
      </c>
      <c r="F20" s="78">
        <f>+F17*F9</f>
        <v>54.53</v>
      </c>
    </row>
    <row r="21" spans="1:19" ht="12.75" customHeight="1" x14ac:dyDescent="0.25">
      <c r="B21" s="24"/>
      <c r="C21" s="25"/>
      <c r="D21" s="25"/>
      <c r="E21" s="25"/>
      <c r="F21" s="25"/>
    </row>
    <row r="22" spans="1:19" ht="12.75" customHeight="1" x14ac:dyDescent="0.25">
      <c r="B22" s="86" t="s">
        <v>88</v>
      </c>
      <c r="C22" s="25"/>
      <c r="D22" s="25"/>
      <c r="E22" s="25"/>
      <c r="F22" s="25"/>
    </row>
    <row r="23" spans="1:19" ht="12.75" customHeight="1" x14ac:dyDescent="0.25">
      <c r="B23" s="87" t="s">
        <v>49</v>
      </c>
    </row>
    <row r="24" spans="1:19" ht="18" customHeight="1" x14ac:dyDescent="0.25">
      <c r="A24" s="419"/>
      <c r="B24" s="419"/>
      <c r="C24" s="420" t="s">
        <v>92</v>
      </c>
      <c r="D24" s="421">
        <f>SUM(C20:F20)</f>
        <v>216.58</v>
      </c>
      <c r="E24" s="422" t="s">
        <v>277</v>
      </c>
      <c r="F24" s="422"/>
      <c r="G24" s="419"/>
      <c r="H24" s="419"/>
      <c r="I24" s="419"/>
    </row>
    <row r="25" spans="1:19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226"/>
      <c r="G25" s="35"/>
      <c r="H25" s="35"/>
      <c r="I25" s="35"/>
    </row>
    <row r="26" spans="1:19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498"/>
      <c r="I26" s="35"/>
    </row>
    <row r="27" spans="1:19" ht="18" customHeight="1" x14ac:dyDescent="0.25">
      <c r="A27" s="419"/>
      <c r="B27" s="419"/>
      <c r="C27" s="420" t="s">
        <v>95</v>
      </c>
      <c r="D27" s="421">
        <f>SUM(C17*C19+D17*D19+E17*E19+F17*F19)</f>
        <v>9402.7199999999993</v>
      </c>
      <c r="E27" s="422" t="s">
        <v>3</v>
      </c>
      <c r="F27" s="422"/>
      <c r="G27" s="419"/>
      <c r="H27" s="419"/>
      <c r="I27" s="419"/>
    </row>
    <row r="28" spans="1:19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17" customFormat="1" ht="17.399999999999999" x14ac:dyDescent="0.25">
      <c r="A31" s="23"/>
      <c r="B31" s="23"/>
      <c r="C31" s="23"/>
      <c r="D31" s="23"/>
      <c r="E31" s="23"/>
      <c r="F31" s="23"/>
      <c r="G31" s="23"/>
      <c r="H31" s="23"/>
      <c r="I31" s="223" t="s">
        <v>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s="17" customFormat="1" x14ac:dyDescent="0.25">
      <c r="A32" s="23"/>
      <c r="B32" s="23"/>
      <c r="C32" s="23"/>
      <c r="D32" s="23"/>
      <c r="E32" s="23"/>
      <c r="F32" s="23"/>
      <c r="G32" s="23"/>
      <c r="H32" s="23"/>
      <c r="I32" s="11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s="17" customFormat="1" x14ac:dyDescent="0.25">
      <c r="A33" s="23"/>
      <c r="B33" s="23"/>
      <c r="C33" s="23"/>
      <c r="D33" s="23"/>
      <c r="E33" s="23"/>
      <c r="F33" s="23"/>
      <c r="G33" s="23"/>
      <c r="H33" s="23"/>
      <c r="I33" s="224" t="s">
        <v>55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s="17" customFormat="1" x14ac:dyDescent="0.25">
      <c r="A34" s="23"/>
      <c r="B34" s="23"/>
      <c r="C34" s="23"/>
      <c r="D34" s="23"/>
      <c r="E34" s="23"/>
      <c r="F34" s="23"/>
      <c r="G34" s="23"/>
      <c r="H34" s="23"/>
      <c r="I34" s="199" t="s">
        <v>54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  <c r="I35" s="199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  <c r="I36" s="199" t="s">
        <v>6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3"/>
      <c r="I37" s="199" t="s">
        <v>58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199" t="s">
        <v>10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25" t="s">
        <v>7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s="17" customFormat="1" ht="12.75" customHeight="1" x14ac:dyDescent="0.25">
      <c r="A40" s="23"/>
      <c r="B40" s="23"/>
      <c r="C40" s="23"/>
      <c r="D40" s="23"/>
      <c r="E40" s="23"/>
      <c r="F40" s="23"/>
      <c r="G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114"/>
    </row>
    <row r="47" spans="1:19" ht="21" customHeight="1" x14ac:dyDescent="0.25">
      <c r="A47" s="12"/>
      <c r="B47" s="13"/>
      <c r="C47" s="112"/>
      <c r="D47" s="112"/>
      <c r="E47" s="112"/>
      <c r="F47" s="467"/>
      <c r="G47" s="112"/>
      <c r="H47" s="112"/>
      <c r="I47" s="112"/>
    </row>
    <row r="48" spans="1:19" ht="21" customHeight="1" x14ac:dyDescent="0.25">
      <c r="A48" s="13"/>
      <c r="B48" s="11"/>
      <c r="C48" s="112"/>
      <c r="D48" s="112"/>
      <c r="E48" s="112"/>
      <c r="F48" s="467"/>
      <c r="G48" s="112"/>
      <c r="H48" s="112"/>
      <c r="I48" s="112"/>
    </row>
  </sheetData>
  <sheetProtection algorithmName="SHA-512" hashValue="b+EENIaDgWS1eEf8FzMULLUYaOXqo3YpbxBBvKEwy+Q1marcGZo5KAhWF0wSQqPoGL6EGVQ23VZXJYFMxOarZQ==" saltValue="w+xdeFhQvJO8/YyoZ36OiQ==" spinCount="100000" sheet="1" selectLockedCells="1"/>
  <mergeCells count="4">
    <mergeCell ref="A1:I1"/>
    <mergeCell ref="H10:I15"/>
    <mergeCell ref="G16:I16"/>
    <mergeCell ref="B26:H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A9B26F7A-7877-40BC-B679-B936F07CCC45}"/>
  </dataValidations>
  <hyperlinks>
    <hyperlink ref="I34" r:id="rId1" xr:uid="{C65722D5-6EAD-470D-9043-44C1CAAAA175}"/>
    <hyperlink ref="I38" r:id="rId2" xr:uid="{41664133-9978-46B0-B5C4-FF41F9E06042}"/>
    <hyperlink ref="I37" r:id="rId3" xr:uid="{658580A4-D51C-4443-871E-F2411645DE3D}"/>
    <hyperlink ref="I36" r:id="rId4" xr:uid="{A208F6A6-F106-49E6-84AB-61775B3F0891}"/>
  </hyperlinks>
  <pageMargins left="0.75" right="0.75" top="1" bottom="1" header="0.5" footer="0.5"/>
  <pageSetup orientation="portrait" r:id="rId5"/>
  <headerFooter alignWithMargins="0"/>
  <drawing r:id="rId6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2F86-5A17-4D8A-9AF4-AF9B856D8168}">
  <sheetPr>
    <tabColor theme="3"/>
  </sheetPr>
  <dimension ref="A1:T48"/>
  <sheetViews>
    <sheetView showGridLines="0" showRowColHeaders="0" zoomScaleNormal="100" workbookViewId="0">
      <selection activeCell="J34" sqref="J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8" width="10.6640625" style="23" customWidth="1"/>
    <col min="9" max="9" width="14.6640625" style="23" customWidth="1"/>
    <col min="10" max="10" width="8.6640625" style="23" customWidth="1"/>
    <col min="11" max="16384" width="9.109375" style="23"/>
  </cols>
  <sheetData>
    <row r="1" spans="1:10" ht="24" customHeight="1" x14ac:dyDescent="0.25">
      <c r="A1" s="561" t="s">
        <v>329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 ht="12.75" customHeight="1" x14ac:dyDescent="0.25"/>
    <row r="3" spans="1:10" ht="18" customHeight="1" x14ac:dyDescent="0.3">
      <c r="B3" s="41"/>
      <c r="C3" s="36"/>
      <c r="D3" s="94" t="s">
        <v>86</v>
      </c>
      <c r="E3" s="96">
        <v>200</v>
      </c>
      <c r="F3"/>
      <c r="G3"/>
      <c r="H3" s="3"/>
      <c r="I3" s="3"/>
      <c r="J3" s="3"/>
    </row>
    <row r="4" spans="1:10" ht="18" customHeight="1" x14ac:dyDescent="0.3">
      <c r="B4" s="35"/>
      <c r="C4" s="36"/>
      <c r="D4" s="95" t="s">
        <v>13</v>
      </c>
      <c r="E4" s="97">
        <v>0</v>
      </c>
      <c r="F4"/>
      <c r="G4"/>
      <c r="H4" s="3"/>
      <c r="I4" s="3"/>
      <c r="J4" s="3"/>
    </row>
    <row r="5" spans="1:10" ht="18" customHeight="1" x14ac:dyDescent="0.3">
      <c r="B5" s="35"/>
      <c r="C5" s="36"/>
      <c r="D5" s="95" t="s">
        <v>85</v>
      </c>
      <c r="E5" s="344">
        <f>E3+E3*E4/100</f>
        <v>200</v>
      </c>
      <c r="F5"/>
      <c r="G5"/>
      <c r="H5" s="3"/>
      <c r="I5" s="3"/>
      <c r="J5" s="3"/>
    </row>
    <row r="6" spans="1:10" ht="12.75" customHeight="1" x14ac:dyDescent="0.25">
      <c r="B6" s="12"/>
      <c r="C6" s="200"/>
      <c r="D6" s="200"/>
      <c r="E6" s="200"/>
      <c r="F6" s="22"/>
      <c r="G6" s="22"/>
    </row>
    <row r="7" spans="1:10" ht="18" customHeight="1" thickBot="1" x14ac:dyDescent="0.35">
      <c r="B7" s="201" t="s">
        <v>0</v>
      </c>
      <c r="C7" s="202" t="s">
        <v>321</v>
      </c>
      <c r="D7" s="227" t="s">
        <v>328</v>
      </c>
      <c r="E7" s="228" t="s">
        <v>322</v>
      </c>
      <c r="F7" s="468" t="s">
        <v>325</v>
      </c>
      <c r="G7" s="468" t="s">
        <v>323</v>
      </c>
      <c r="H7" s="229"/>
      <c r="I7" s="1"/>
      <c r="J7" s="1"/>
    </row>
    <row r="8" spans="1:10" ht="18" customHeight="1" thickTop="1" x14ac:dyDescent="0.3">
      <c r="B8" s="204" t="s">
        <v>11</v>
      </c>
      <c r="C8" s="153">
        <v>0.1</v>
      </c>
      <c r="D8" s="154">
        <v>0.2</v>
      </c>
      <c r="E8" s="153">
        <v>0.4</v>
      </c>
      <c r="F8" s="153">
        <v>0.2</v>
      </c>
      <c r="G8" s="153">
        <v>0.1</v>
      </c>
      <c r="H8" s="74">
        <f>SUM(B8:G8)</f>
        <v>1.0000000000000002</v>
      </c>
      <c r="I8" s="1"/>
      <c r="J8" s="1"/>
    </row>
    <row r="9" spans="1:10" ht="18.75" hidden="1" customHeight="1" x14ac:dyDescent="0.25">
      <c r="B9" s="205" t="s">
        <v>66</v>
      </c>
      <c r="C9" s="206">
        <v>0.45</v>
      </c>
      <c r="D9" s="230">
        <v>0.67</v>
      </c>
      <c r="E9" s="206">
        <v>0.89</v>
      </c>
      <c r="F9" s="206">
        <v>1.33</v>
      </c>
      <c r="G9" s="206">
        <v>1.79</v>
      </c>
      <c r="H9" s="203"/>
    </row>
    <row r="10" spans="1:10" ht="12.75" customHeight="1" x14ac:dyDescent="0.25">
      <c r="B10" s="207" t="s">
        <v>1</v>
      </c>
      <c r="C10" s="208">
        <f>+(E5*C8)/C9</f>
        <v>44.444444444444443</v>
      </c>
      <c r="D10" s="231">
        <f>+(E5*D8)/D9</f>
        <v>59.701492537313428</v>
      </c>
      <c r="E10" s="208">
        <f>+(E5*E8)/E9</f>
        <v>89.887640449438194</v>
      </c>
      <c r="F10" s="208">
        <f>+(E5*F8)/F9</f>
        <v>30.075187969924812</v>
      </c>
      <c r="G10" s="208">
        <f>+(E5*G8)/G9</f>
        <v>11.173184357541899</v>
      </c>
      <c r="H10" s="203"/>
      <c r="I10" s="501" t="s">
        <v>203</v>
      </c>
      <c r="J10" s="501"/>
    </row>
    <row r="11" spans="1:10" ht="12.75" customHeight="1" x14ac:dyDescent="0.25">
      <c r="B11" s="209" t="s">
        <v>67</v>
      </c>
      <c r="C11" s="206">
        <v>180</v>
      </c>
      <c r="D11" s="230">
        <v>120</v>
      </c>
      <c r="E11" s="206">
        <v>55</v>
      </c>
      <c r="F11" s="206">
        <v>30</v>
      </c>
      <c r="G11" s="206">
        <v>30</v>
      </c>
      <c r="H11" s="232"/>
      <c r="I11" s="501"/>
      <c r="J11" s="501"/>
    </row>
    <row r="12" spans="1:10" ht="12.75" customHeight="1" thickBot="1" x14ac:dyDescent="0.3">
      <c r="B12" s="115" t="s">
        <v>83</v>
      </c>
      <c r="C12" s="138">
        <v>15</v>
      </c>
      <c r="D12" s="138">
        <v>13</v>
      </c>
      <c r="E12" s="105">
        <v>11</v>
      </c>
      <c r="F12" s="105">
        <v>10</v>
      </c>
      <c r="G12" s="105">
        <v>10</v>
      </c>
      <c r="H12" s="232"/>
      <c r="I12" s="501"/>
      <c r="J12" s="501"/>
    </row>
    <row r="13" spans="1:10" ht="18.75" hidden="1" customHeight="1" x14ac:dyDescent="0.25">
      <c r="B13" s="116" t="s">
        <v>63</v>
      </c>
      <c r="C13" s="138">
        <v>12</v>
      </c>
      <c r="D13" s="138">
        <v>12</v>
      </c>
      <c r="E13" s="105">
        <v>11</v>
      </c>
      <c r="F13" s="105">
        <v>11</v>
      </c>
      <c r="G13" s="105">
        <v>10</v>
      </c>
      <c r="H13" s="232"/>
      <c r="I13" s="501"/>
      <c r="J13" s="501"/>
    </row>
    <row r="14" spans="1:10" ht="18.600000000000001" hidden="1" customHeight="1" thickBot="1" x14ac:dyDescent="0.3">
      <c r="B14" s="116" t="s">
        <v>64</v>
      </c>
      <c r="C14" s="138">
        <v>12</v>
      </c>
      <c r="D14" s="138">
        <v>13</v>
      </c>
      <c r="E14" s="105">
        <v>11</v>
      </c>
      <c r="F14" s="105">
        <v>11</v>
      </c>
      <c r="G14" s="105">
        <v>10</v>
      </c>
      <c r="H14" s="232"/>
      <c r="I14" s="501"/>
      <c r="J14" s="501"/>
    </row>
    <row r="15" spans="1:10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1</v>
      </c>
      <c r="G15" s="65">
        <f>IF(MOD(G10+G13,G11)&lt;=G13,1+ROUNDDOWN(G10/G11,0),ROUNDDOWN(G10/G11,0))</f>
        <v>0</v>
      </c>
      <c r="H15" s="232"/>
      <c r="I15" s="501"/>
      <c r="J15" s="501"/>
    </row>
    <row r="16" spans="1:10" ht="18" customHeight="1" thickBot="1" x14ac:dyDescent="0.3">
      <c r="B16" s="139" t="s">
        <v>84</v>
      </c>
      <c r="C16" s="119">
        <f>IF(ROUNDUP((C10-(C11*C15))/C12,0)&lt;0,0,ROUNDUP((C10-(C11*C15))/C12,0))</f>
        <v>3</v>
      </c>
      <c r="D16" s="119">
        <f>IF(ROUNDUP((D10-(D11*D15))/D12,0)&lt;0,0,ROUNDUP((D10-(D11*D15))/D12,0))</f>
        <v>5</v>
      </c>
      <c r="E16" s="119">
        <f>IF(ROUNDUP((E10-(E11*E15))/E12,0)&lt;0,0,ROUNDUP((E10-(E11*E15))/E12,0))</f>
        <v>4</v>
      </c>
      <c r="F16" s="119">
        <f>IF(ROUNDUP((F10-(F11*F15))/F12,0)&lt;0,0,ROUNDUP((F10-(F11*F15))/F12,0))</f>
        <v>1</v>
      </c>
      <c r="G16" s="119">
        <f>IF(ROUNDUP((G10-(G11*G15))/G12,0)&lt;0,0,ROUNDUP((G10-(G11*G15))/G12,0))</f>
        <v>2</v>
      </c>
      <c r="H16" s="528"/>
      <c r="I16" s="528"/>
      <c r="J16" s="528"/>
    </row>
    <row r="17" spans="1:20" ht="18" customHeight="1" x14ac:dyDescent="0.25">
      <c r="B17" s="140" t="s">
        <v>65</v>
      </c>
      <c r="C17" s="458">
        <f>(C15*C11)+(ROUNDUP(C16/2,0)*C13)+(ROUNDDOWN(C16/2,0)*C14)</f>
        <v>36</v>
      </c>
      <c r="D17" s="458">
        <f>(D15*D11)+(ROUNDUP(D16/2,0)*D13)+(ROUNDDOWN(D16/2,0)*D14)</f>
        <v>62</v>
      </c>
      <c r="E17" s="458">
        <f>(E15*E11)+(ROUNDUP(E16/2,0)*E13)+(ROUNDDOWN(E16/2,0)*E14)</f>
        <v>99</v>
      </c>
      <c r="F17" s="458">
        <f>(F15*F11)+(ROUNDUP(F16/2,0)*F13)+(ROUNDDOWN(F16/2,0)*F14)</f>
        <v>41</v>
      </c>
      <c r="G17" s="458">
        <f>(G15*G11)+(ROUNDUP(G16/2,0)*G13)+(ROUNDDOWN(G16/2,0)*G14)</f>
        <v>20</v>
      </c>
      <c r="H17" s="232"/>
    </row>
    <row r="18" spans="1:20" ht="12.75" customHeight="1" x14ac:dyDescent="0.25">
      <c r="B18" s="143" t="s">
        <v>70</v>
      </c>
      <c r="C18" s="78">
        <v>2952</v>
      </c>
      <c r="D18" s="78">
        <v>3595</v>
      </c>
      <c r="E18" s="78">
        <v>3268</v>
      </c>
      <c r="F18" s="78">
        <v>3372</v>
      </c>
      <c r="G18" s="78">
        <v>2783</v>
      </c>
    </row>
    <row r="19" spans="1:20" ht="12.75" customHeight="1" x14ac:dyDescent="0.25">
      <c r="B19" s="217" t="s">
        <v>69</v>
      </c>
      <c r="C19" s="218">
        <v>16.399999999999999</v>
      </c>
      <c r="D19" s="218">
        <f>14.98*2</f>
        <v>29.96</v>
      </c>
      <c r="E19" s="218">
        <v>38.9</v>
      </c>
      <c r="F19" s="218">
        <v>61.3</v>
      </c>
      <c r="G19" s="218">
        <v>92.7</v>
      </c>
    </row>
    <row r="20" spans="1:20" ht="12.75" hidden="1" customHeight="1" x14ac:dyDescent="0.25">
      <c r="B20" s="219" t="s">
        <v>71</v>
      </c>
      <c r="C20" s="78">
        <f>+C17*C9</f>
        <v>16.2</v>
      </c>
      <c r="D20" s="78">
        <f>+D17*D9</f>
        <v>41.54</v>
      </c>
      <c r="E20" s="78">
        <f>+E17*E9</f>
        <v>88.11</v>
      </c>
      <c r="F20" s="78">
        <f>+F17*F9</f>
        <v>54.53</v>
      </c>
      <c r="G20" s="78">
        <f>+G17*G9</f>
        <v>35.799999999999997</v>
      </c>
    </row>
    <row r="21" spans="1:20" ht="12.75" customHeight="1" x14ac:dyDescent="0.25">
      <c r="B21" s="24"/>
      <c r="C21" s="25"/>
      <c r="D21" s="25"/>
      <c r="E21" s="25"/>
      <c r="F21" s="25"/>
      <c r="G21" s="25"/>
    </row>
    <row r="22" spans="1:20" ht="12.75" customHeight="1" x14ac:dyDescent="0.25">
      <c r="B22" s="86" t="s">
        <v>88</v>
      </c>
      <c r="C22" s="25"/>
      <c r="D22" s="25"/>
      <c r="E22" s="25"/>
      <c r="F22" s="25"/>
      <c r="G22" s="25"/>
    </row>
    <row r="23" spans="1:20" ht="12.75" customHeight="1" x14ac:dyDescent="0.25">
      <c r="B23" s="87" t="s">
        <v>49</v>
      </c>
    </row>
    <row r="24" spans="1:20" ht="18" customHeight="1" x14ac:dyDescent="0.25">
      <c r="A24" s="419"/>
      <c r="B24" s="419"/>
      <c r="C24" s="420" t="s">
        <v>92</v>
      </c>
      <c r="D24" s="421">
        <f>SUM(C20:G20)</f>
        <v>236.18</v>
      </c>
      <c r="E24" s="422" t="s">
        <v>277</v>
      </c>
      <c r="F24" s="422"/>
      <c r="G24" s="422"/>
      <c r="H24" s="419"/>
      <c r="I24" s="419"/>
      <c r="J24" s="419"/>
    </row>
    <row r="25" spans="1:20" ht="18" customHeight="1" x14ac:dyDescent="0.25">
      <c r="A25" s="35"/>
      <c r="B25" s="35"/>
      <c r="C25" s="220" t="s">
        <v>12</v>
      </c>
      <c r="D25" s="70">
        <f>ROUND(+D24/35,0)</f>
        <v>7</v>
      </c>
      <c r="E25" s="226" t="s">
        <v>4</v>
      </c>
      <c r="F25" s="226"/>
      <c r="G25" s="226"/>
      <c r="H25" s="35"/>
      <c r="I25" s="35"/>
      <c r="J25" s="35"/>
    </row>
    <row r="26" spans="1:20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498"/>
      <c r="I26" s="498"/>
      <c r="J26" s="35"/>
    </row>
    <row r="27" spans="1:20" ht="18" customHeight="1" x14ac:dyDescent="0.25">
      <c r="A27" s="419"/>
      <c r="B27" s="419"/>
      <c r="C27" s="420" t="s">
        <v>95</v>
      </c>
      <c r="D27" s="421">
        <f>SUM(C17*C19+D17*D19+E17*E19+F17*F19+G17*G19)</f>
        <v>10666.32</v>
      </c>
      <c r="E27" s="422" t="s">
        <v>3</v>
      </c>
      <c r="F27" s="422"/>
      <c r="G27" s="422"/>
      <c r="H27" s="419"/>
      <c r="I27" s="419"/>
      <c r="J27" s="419"/>
    </row>
    <row r="28" spans="1:20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 s="17" customFormat="1" ht="17.399999999999999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23" t="s">
        <v>9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 s="17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24" t="s">
        <v>55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s="17" customForma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199" t="s">
        <v>54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0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199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199" t="s">
        <v>6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199" t="s">
        <v>58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199" t="s">
        <v>10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25" t="s">
        <v>7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114"/>
      <c r="J46" s="114"/>
    </row>
    <row r="47" spans="1:20" ht="21" customHeight="1" x14ac:dyDescent="0.25">
      <c r="A47" s="12"/>
      <c r="B47" s="13"/>
      <c r="C47" s="112"/>
      <c r="D47" s="112"/>
      <c r="E47" s="112"/>
      <c r="F47" s="467"/>
      <c r="G47" s="467"/>
      <c r="H47" s="112"/>
      <c r="I47" s="112"/>
      <c r="J47" s="112"/>
    </row>
    <row r="48" spans="1:20" ht="21" customHeight="1" x14ac:dyDescent="0.25">
      <c r="A48" s="13"/>
      <c r="B48" s="11"/>
      <c r="C48" s="112"/>
      <c r="D48" s="112"/>
      <c r="E48" s="112"/>
      <c r="F48" s="467"/>
      <c r="G48" s="467"/>
      <c r="H48" s="112"/>
      <c r="I48" s="112"/>
      <c r="J48" s="112"/>
    </row>
  </sheetData>
  <sheetProtection algorithmName="SHA-512" hashValue="VDawX/dMGawAU1EGePzvl0S9ThmUfR7pl+ILFrUrG7sF6EFALACXj87lVAl8vdBJC5KOzCAbimmgNAEOGsCYXQ==" saltValue="WjAK1vmr0CWG0XS8asRQYA==" spinCount="100000" sheet="1" selectLockedCells="1"/>
  <mergeCells count="4">
    <mergeCell ref="A1:J1"/>
    <mergeCell ref="I10:J15"/>
    <mergeCell ref="H16:J16"/>
    <mergeCell ref="B26:I26"/>
  </mergeCells>
  <phoneticPr fontId="2" type="noConversion"/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E911D185-3A99-48C6-8222-4999D339BEFF}"/>
  </dataValidations>
  <hyperlinks>
    <hyperlink ref="J34" r:id="rId1" xr:uid="{290C837B-2A20-400A-A213-D05768C24D15}"/>
    <hyperlink ref="J38" r:id="rId2" xr:uid="{DA04C5D7-90F9-45BC-88FB-CBE4615C3570}"/>
    <hyperlink ref="J37" r:id="rId3" xr:uid="{3528FC33-DA62-483C-AE09-C0E01D9DF2B8}"/>
    <hyperlink ref="J36" r:id="rId4" xr:uid="{7843D403-1E97-4566-A01F-BF075FD7C51D}"/>
  </hyperlinks>
  <pageMargins left="0.75" right="0.75" top="1" bottom="1" header="0.5" footer="0.5"/>
  <pageSetup orientation="portrait" r:id="rId5"/>
  <headerFooter alignWithMargins="0"/>
  <drawing r:id="rId6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>
    <tabColor theme="3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1" t="s">
        <v>298</v>
      </c>
      <c r="B1" s="561"/>
      <c r="C1" s="561"/>
      <c r="D1" s="561"/>
      <c r="E1" s="561"/>
      <c r="F1" s="561"/>
      <c r="G1" s="561"/>
      <c r="H1" s="561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40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40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243</v>
      </c>
      <c r="D7" s="227" t="s">
        <v>244</v>
      </c>
      <c r="E7" s="228" t="s">
        <v>245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customHeight="1" x14ac:dyDescent="0.25">
      <c r="B9" s="205" t="s">
        <v>66</v>
      </c>
      <c r="C9" s="206">
        <v>1</v>
      </c>
      <c r="D9" s="230">
        <v>2</v>
      </c>
      <c r="E9" s="206">
        <v>3</v>
      </c>
      <c r="F9" s="203"/>
    </row>
    <row r="10" spans="1:8" ht="12.75" customHeight="1" x14ac:dyDescent="0.25">
      <c r="B10" s="408" t="s">
        <v>274</v>
      </c>
      <c r="C10" s="208">
        <f>ROUND((E5*C8)/(4/12),0)</f>
        <v>24</v>
      </c>
      <c r="D10" s="208">
        <f>ROUND((E5*D8)/(8/12),0)</f>
        <v>30</v>
      </c>
      <c r="E10" s="208">
        <f>ROUNDUP(E5*E8,0)</f>
        <v>12</v>
      </c>
      <c r="F10" s="203"/>
      <c r="G10" s="501" t="s">
        <v>254</v>
      </c>
      <c r="H10" s="501"/>
    </row>
    <row r="11" spans="1:8" ht="12.75" customHeight="1" thickBot="1" x14ac:dyDescent="0.3">
      <c r="B11" s="407" t="s">
        <v>285</v>
      </c>
      <c r="C11" s="206">
        <v>240</v>
      </c>
      <c r="D11" s="230">
        <v>120</v>
      </c>
      <c r="E11" s="206">
        <v>72</v>
      </c>
      <c r="F11" s="232"/>
      <c r="G11" s="501"/>
      <c r="H11" s="501"/>
    </row>
    <row r="12" spans="1:8" ht="12.75" hidden="1" customHeight="1" x14ac:dyDescent="0.25">
      <c r="B12" s="115" t="s">
        <v>83</v>
      </c>
      <c r="C12" s="138">
        <v>0</v>
      </c>
      <c r="D12" s="138">
        <v>0</v>
      </c>
      <c r="E12" s="105">
        <v>0</v>
      </c>
      <c r="F12" s="232"/>
      <c r="G12" s="501"/>
      <c r="H12" s="501"/>
    </row>
    <row r="13" spans="1:8" ht="18.600000000000001" hidden="1" customHeight="1" x14ac:dyDescent="0.25">
      <c r="B13" s="116" t="s">
        <v>63</v>
      </c>
      <c r="C13" s="138">
        <v>0</v>
      </c>
      <c r="D13" s="138">
        <v>0</v>
      </c>
      <c r="E13" s="105">
        <v>0</v>
      </c>
      <c r="F13" s="232"/>
      <c r="G13" s="501"/>
      <c r="H13" s="501"/>
    </row>
    <row r="14" spans="1:8" ht="18.600000000000001" hidden="1" customHeight="1" thickBot="1" x14ac:dyDescent="0.3">
      <c r="B14" s="116" t="s">
        <v>64</v>
      </c>
      <c r="C14" s="138">
        <v>0</v>
      </c>
      <c r="D14" s="138">
        <v>0</v>
      </c>
      <c r="E14" s="105">
        <v>0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ROUND(C10/C11,0)</f>
        <v>0</v>
      </c>
      <c r="D15" s="119">
        <f t="shared" ref="D15:E15" si="0">ROUND(D10/D11,0)</f>
        <v>0</v>
      </c>
      <c r="E15" s="119">
        <f t="shared" si="0"/>
        <v>0</v>
      </c>
      <c r="F15" s="232"/>
      <c r="G15" s="501"/>
      <c r="H15" s="501"/>
    </row>
    <row r="16" spans="1:8" ht="18" hidden="1" customHeight="1" thickBot="1" x14ac:dyDescent="0.3">
      <c r="B16" s="139" t="s">
        <v>84</v>
      </c>
      <c r="C16" s="119">
        <v>0</v>
      </c>
      <c r="D16" s="119">
        <v>0</v>
      </c>
      <c r="E16" s="119">
        <v>0</v>
      </c>
      <c r="F16" s="528"/>
      <c r="G16" s="528"/>
      <c r="H16" s="528"/>
    </row>
    <row r="17" spans="1:18" ht="18" hidden="1" customHeight="1" x14ac:dyDescent="0.25">
      <c r="B17" s="406" t="s">
        <v>273</v>
      </c>
      <c r="C17" s="123">
        <f>(C15*C11)+(ROUNDUP(C16/2,0)*C13)+(ROUNDDOWN(C16/2,0)*C14)</f>
        <v>0</v>
      </c>
      <c r="D17" s="123">
        <f>(D15*D11)+(ROUNDUP(D16/2,0)*D13)+(ROUNDDOWN(D16/2,0)*D14)</f>
        <v>0</v>
      </c>
      <c r="E17" s="123">
        <f>(E15*E11)+(ROUNDUP(E16/2,0)*E13)+(ROUNDDOWN(E16/2,0)*E14)</f>
        <v>0</v>
      </c>
      <c r="F17" s="232"/>
    </row>
    <row r="18" spans="1:18" ht="12.75" customHeight="1" x14ac:dyDescent="0.25">
      <c r="B18" s="143" t="s">
        <v>70</v>
      </c>
      <c r="C18" s="78">
        <v>3665</v>
      </c>
      <c r="D18" s="78">
        <v>3854</v>
      </c>
      <c r="E18" s="78">
        <v>3508</v>
      </c>
    </row>
    <row r="19" spans="1:18" ht="12.75" customHeight="1" x14ac:dyDescent="0.25">
      <c r="B19" s="217" t="s">
        <v>69</v>
      </c>
      <c r="C19" s="218">
        <v>15.3</v>
      </c>
      <c r="D19" s="218">
        <v>32.1</v>
      </c>
      <c r="E19" s="218">
        <v>48.7</v>
      </c>
    </row>
    <row r="20" spans="1:18" ht="12.75" hidden="1" customHeight="1" x14ac:dyDescent="0.25">
      <c r="B20" s="219" t="s">
        <v>71</v>
      </c>
      <c r="C20" s="78">
        <f>+C17*C9</f>
        <v>0</v>
      </c>
      <c r="D20" s="78">
        <f>+D17*D9</f>
        <v>0</v>
      </c>
      <c r="E20" s="78">
        <f>+E17*E9</f>
        <v>0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19"/>
      <c r="B24" s="419"/>
      <c r="C24" s="420" t="s">
        <v>92</v>
      </c>
      <c r="D24" s="421">
        <f>SUM(C20:E20)</f>
        <v>0</v>
      </c>
      <c r="E24" s="422" t="s">
        <v>278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0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19"/>
      <c r="B27" s="419"/>
      <c r="C27" s="420" t="s">
        <v>95</v>
      </c>
      <c r="D27" s="421">
        <f>SUM(C17*C19+D17*D19+E17*E19)</f>
        <v>0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yui75+UKSuoQ3A53QL94+gZu9QHiOpmV9uZMo18WWO9+aBaLCzjiB+9ZhnzrNckswNQOv4bJNFUjXeXlpLQF2A==" saltValue="JgznLosjsok2AYEcxMp4kw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400-000000000000}"/>
  </dataValidations>
  <hyperlinks>
    <hyperlink ref="H34" r:id="rId1" xr:uid="{00000000-0004-0000-2400-000001000000}"/>
    <hyperlink ref="H38" r:id="rId2" xr:uid="{00000000-0004-0000-2400-000002000000}"/>
    <hyperlink ref="H37" r:id="rId3" xr:uid="{00000000-0004-0000-2400-000003000000}"/>
    <hyperlink ref="H36" r:id="rId4" xr:uid="{00000000-0004-0000-24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>
    <tabColor theme="3"/>
  </sheetPr>
  <dimension ref="A1:R48"/>
  <sheetViews>
    <sheetView showGridLines="0" showRowColHeaders="0" zoomScaleNormal="100" workbookViewId="0">
      <selection activeCell="H34" sqref="H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1" t="s">
        <v>255</v>
      </c>
      <c r="B1" s="561"/>
      <c r="C1" s="561"/>
      <c r="D1" s="561"/>
      <c r="E1" s="561"/>
      <c r="F1" s="561"/>
      <c r="G1" s="561"/>
      <c r="H1" s="561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40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40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243</v>
      </c>
      <c r="D7" s="227" t="s">
        <v>244</v>
      </c>
      <c r="E7" s="228" t="s">
        <v>245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0.17</v>
      </c>
      <c r="D8" s="154">
        <v>0.33</v>
      </c>
      <c r="E8" s="153">
        <v>0.5</v>
      </c>
      <c r="F8" s="74">
        <f>SUM(B8,C8,D8,E8)</f>
        <v>1</v>
      </c>
      <c r="G8" s="1"/>
      <c r="H8" s="1"/>
    </row>
    <row r="9" spans="1:8" ht="18.75" customHeight="1" x14ac:dyDescent="0.25">
      <c r="B9" s="205" t="s">
        <v>66</v>
      </c>
      <c r="C9" s="206">
        <v>1</v>
      </c>
      <c r="D9" s="230">
        <v>2</v>
      </c>
      <c r="E9" s="206">
        <v>3</v>
      </c>
      <c r="F9" s="203"/>
    </row>
    <row r="10" spans="1:8" ht="12.75" customHeight="1" x14ac:dyDescent="0.25">
      <c r="B10" s="408" t="s">
        <v>274</v>
      </c>
      <c r="C10" s="208">
        <f>+(E5*C8)/(4/12)</f>
        <v>20.400000000000002</v>
      </c>
      <c r="D10" s="231">
        <f>+(E5*D8)/(8/12)</f>
        <v>19.800000000000004</v>
      </c>
      <c r="E10" s="208">
        <f>+(E5*E8)</f>
        <v>20</v>
      </c>
      <c r="F10" s="203"/>
      <c r="G10" s="501" t="s">
        <v>254</v>
      </c>
      <c r="H10" s="501"/>
    </row>
    <row r="11" spans="1:8" ht="12.75" customHeight="1" thickBot="1" x14ac:dyDescent="0.3">
      <c r="B11" s="407" t="s">
        <v>285</v>
      </c>
      <c r="C11" s="206">
        <v>240</v>
      </c>
      <c r="D11" s="230">
        <v>120</v>
      </c>
      <c r="E11" s="206">
        <v>72</v>
      </c>
      <c r="F11" s="232"/>
      <c r="G11" s="501"/>
      <c r="H11" s="501"/>
    </row>
    <row r="12" spans="1:8" ht="12.75" hidden="1" customHeight="1" x14ac:dyDescent="0.25">
      <c r="B12" s="115" t="s">
        <v>83</v>
      </c>
      <c r="C12" s="138">
        <v>0</v>
      </c>
      <c r="D12" s="138">
        <v>0</v>
      </c>
      <c r="E12" s="105">
        <v>0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0</v>
      </c>
      <c r="D13" s="138">
        <v>0</v>
      </c>
      <c r="E13" s="105">
        <v>0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138">
        <v>0</v>
      </c>
      <c r="D14" s="138">
        <v>0</v>
      </c>
      <c r="E14" s="105">
        <v>0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ROUND(C10/C11,0)</f>
        <v>0</v>
      </c>
      <c r="D15" s="119">
        <f>ROUND(D10/D11,0)</f>
        <v>0</v>
      </c>
      <c r="E15" s="119">
        <f>ROUND(E10/E11,0)</f>
        <v>0</v>
      </c>
      <c r="F15" s="232"/>
      <c r="G15" s="501"/>
      <c r="H15" s="501"/>
    </row>
    <row r="16" spans="1:8" ht="18" hidden="1" customHeight="1" thickBot="1" x14ac:dyDescent="0.3">
      <c r="B16" s="139" t="s">
        <v>84</v>
      </c>
      <c r="C16" s="119" t="e">
        <f>IF(ROUNDUP((C10-(C11*C15))/C12,0)&lt;0,0,ROUNDUP((C10-(C11*C15))/C12,0))</f>
        <v>#DIV/0!</v>
      </c>
      <c r="D16" s="119" t="e">
        <f>IF(ROUNDUP((D10-(D11*D15))/D12,0)&lt;0,0,ROUNDUP((D10-(D11*D15))/D12,0))</f>
        <v>#DIV/0!</v>
      </c>
      <c r="E16" s="119" t="e">
        <f>IF(ROUNDUP((E10-(E11*E15))/E12,0)&lt;0,0,ROUNDUP((E10-(E11*E15))/E12,0))</f>
        <v>#DIV/0!</v>
      </c>
      <c r="F16" s="528"/>
      <c r="G16" s="528"/>
      <c r="H16" s="528"/>
    </row>
    <row r="17" spans="1:18" ht="18" hidden="1" customHeight="1" x14ac:dyDescent="0.25">
      <c r="B17" s="140" t="s">
        <v>65</v>
      </c>
      <c r="C17" s="123" t="e">
        <f>(C15*C11)+(ROUNDUP(C16/2,0)*C13)+(ROUNDDOWN(C16/2,0)*C14)</f>
        <v>#DIV/0!</v>
      </c>
      <c r="D17" s="123" t="e">
        <f>(D15*D11)+(ROUNDUP(D16/2,0)*D13)+(ROUNDDOWN(D16/2,0)*D14)</f>
        <v>#DIV/0!</v>
      </c>
      <c r="E17" s="123" t="e">
        <f>(E15*E11)+(ROUNDUP(E16/2,0)*E13)+(ROUNDDOWN(E16/2,0)*E14)</f>
        <v>#DIV/0!</v>
      </c>
      <c r="F17" s="232"/>
    </row>
    <row r="18" spans="1:18" ht="12.75" customHeight="1" x14ac:dyDescent="0.25">
      <c r="B18" s="143" t="s">
        <v>70</v>
      </c>
      <c r="C18" s="78">
        <v>3665</v>
      </c>
      <c r="D18" s="78">
        <v>3854</v>
      </c>
      <c r="E18" s="78">
        <v>3508</v>
      </c>
    </row>
    <row r="19" spans="1:18" ht="12.75" customHeight="1" x14ac:dyDescent="0.25">
      <c r="B19" s="217" t="s">
        <v>69</v>
      </c>
      <c r="C19" s="218">
        <v>15.3</v>
      </c>
      <c r="D19" s="218">
        <v>32.1</v>
      </c>
      <c r="E19" s="218">
        <v>48.7</v>
      </c>
    </row>
    <row r="20" spans="1:18" ht="12.75" hidden="1" customHeight="1" x14ac:dyDescent="0.25">
      <c r="B20" s="219" t="s">
        <v>71</v>
      </c>
      <c r="C20" s="78" t="e">
        <f>+C17*C9</f>
        <v>#DIV/0!</v>
      </c>
      <c r="D20" s="78" t="e">
        <f>+D17*D9</f>
        <v>#DIV/0!</v>
      </c>
      <c r="E20" s="78" t="e">
        <f>+E17*E9</f>
        <v>#DIV/0!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19"/>
      <c r="B24" s="419"/>
      <c r="C24" s="420" t="s">
        <v>92</v>
      </c>
      <c r="D24" s="421" t="e">
        <f>SUM(C20:E20)</f>
        <v>#DIV/0!</v>
      </c>
      <c r="E24" s="422" t="s">
        <v>278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 t="e">
        <f>ROUND(+D24/35,0)</f>
        <v>#DIV/0!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19"/>
      <c r="B27" s="419"/>
      <c r="C27" s="420" t="s">
        <v>95</v>
      </c>
      <c r="D27" s="421" t="e">
        <f>SUM(C17*C19+D17*D19+E17*E19)</f>
        <v>#DIV/0!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5/i95wWyWg9CeCoxhcZ1G5GG5DP14ysZAibQYaulLJl6nxFe6O8NShLuJ4yJmPnd5iYbyknu2eoYvSYeHIZIkQ==" saltValue="rzKEYqhqFZ5SDW/I1QiV6Q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500-000000000000}"/>
  </dataValidations>
  <hyperlinks>
    <hyperlink ref="H34" r:id="rId1" xr:uid="{00000000-0004-0000-2500-000001000000}"/>
    <hyperlink ref="H38" r:id="rId2" xr:uid="{00000000-0004-0000-2500-000002000000}"/>
    <hyperlink ref="H37" r:id="rId3" xr:uid="{00000000-0004-0000-2500-000003000000}"/>
    <hyperlink ref="H36" r:id="rId4" xr:uid="{00000000-0004-0000-25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>
    <tabColor theme="3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1" t="s">
        <v>299</v>
      </c>
      <c r="B1" s="561"/>
      <c r="C1" s="561"/>
      <c r="D1" s="561"/>
      <c r="E1" s="561"/>
      <c r="F1" s="561"/>
      <c r="G1" s="561"/>
      <c r="H1" s="561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268</v>
      </c>
      <c r="D7" s="227" t="s">
        <v>269</v>
      </c>
      <c r="E7" s="228" t="s">
        <v>270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0.67</v>
      </c>
      <c r="D9" s="230">
        <v>1.34</v>
      </c>
      <c r="E9" s="206">
        <v>2</v>
      </c>
      <c r="F9" s="203"/>
    </row>
    <row r="10" spans="1:8" ht="12.75" customHeight="1" x14ac:dyDescent="0.25">
      <c r="B10" s="207" t="s">
        <v>1</v>
      </c>
      <c r="C10" s="208">
        <f>+(E5*C8)/C9</f>
        <v>59.701492537313428</v>
      </c>
      <c r="D10" s="231">
        <f>+(E5*D8)/D9</f>
        <v>74.626865671641781</v>
      </c>
      <c r="E10" s="208">
        <f>+(E5*E8)/E9</f>
        <v>30</v>
      </c>
      <c r="F10" s="203"/>
      <c r="G10" s="501" t="s">
        <v>254</v>
      </c>
      <c r="H10" s="501"/>
    </row>
    <row r="11" spans="1:8" ht="12.75" customHeight="1" x14ac:dyDescent="0.25">
      <c r="B11" s="209" t="s">
        <v>67</v>
      </c>
      <c r="C11" s="206">
        <v>90</v>
      </c>
      <c r="D11" s="230">
        <v>42</v>
      </c>
      <c r="E11" s="206">
        <v>30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6</v>
      </c>
      <c r="D12" s="138">
        <v>6</v>
      </c>
      <c r="E12" s="105">
        <v>6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6</v>
      </c>
      <c r="D13" s="138">
        <v>6</v>
      </c>
      <c r="E13" s="105">
        <v>6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138">
        <v>6</v>
      </c>
      <c r="D14" s="138">
        <v>6</v>
      </c>
      <c r="E14" s="105">
        <v>6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2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10</v>
      </c>
      <c r="D16" s="119">
        <f>IF(ROUNDUP((D10-(D11*D15))/D12,0)&lt;0,0,ROUNDUP((D10-(D11*D15))/D12,0))</f>
        <v>6</v>
      </c>
      <c r="E16" s="119">
        <f>IF(ROUNDUP((E10-(E11*E15))/E12,0)&lt;0,0,ROUNDUP((E10-(E11*E15))/E12,0))</f>
        <v>0</v>
      </c>
      <c r="F16" s="528"/>
      <c r="G16" s="528"/>
      <c r="H16" s="528"/>
    </row>
    <row r="17" spans="1:18" ht="18" customHeight="1" x14ac:dyDescent="0.25">
      <c r="B17" s="140" t="s">
        <v>65</v>
      </c>
      <c r="C17" s="123">
        <f>(C15*C11)+(ROUNDUP(C16/2,0)*C13)+(ROUNDDOWN(C16/2,0)*C14)</f>
        <v>60</v>
      </c>
      <c r="D17" s="123">
        <f>(D15*D11)+(ROUNDUP(D16/2,0)*D13)+(ROUNDDOWN(D16/2,0)*D14)</f>
        <v>78</v>
      </c>
      <c r="E17" s="123">
        <f>(E15*E11)+(ROUNDUP(E16/2,0)*E13)+(ROUNDDOWN(E16/2,0)*E14)</f>
        <v>60</v>
      </c>
      <c r="F17" s="232"/>
    </row>
    <row r="18" spans="1:18" ht="12.75" customHeight="1" x14ac:dyDescent="0.25">
      <c r="B18" s="143" t="s">
        <v>70</v>
      </c>
      <c r="C18" s="78">
        <v>2604.4</v>
      </c>
      <c r="D18" s="78">
        <v>2627.9</v>
      </c>
      <c r="E18" s="78">
        <v>2862.5</v>
      </c>
    </row>
    <row r="19" spans="1:18" ht="12.75" customHeight="1" x14ac:dyDescent="0.25">
      <c r="B19" s="217" t="s">
        <v>69</v>
      </c>
      <c r="C19" s="218">
        <v>28.9</v>
      </c>
      <c r="D19" s="218">
        <v>62.6</v>
      </c>
      <c r="E19" s="218">
        <v>95.4</v>
      </c>
    </row>
    <row r="20" spans="1:18" ht="12.75" hidden="1" customHeight="1" x14ac:dyDescent="0.25">
      <c r="B20" s="219" t="s">
        <v>71</v>
      </c>
      <c r="C20" s="78">
        <f>+C17*C9</f>
        <v>40.200000000000003</v>
      </c>
      <c r="D20" s="78">
        <f>+D17*D9</f>
        <v>104.52000000000001</v>
      </c>
      <c r="E20" s="78">
        <f>+E17*E9</f>
        <v>120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19"/>
      <c r="B24" s="419"/>
      <c r="C24" s="420" t="s">
        <v>92</v>
      </c>
      <c r="D24" s="421">
        <f>SUM(C20:E20)</f>
        <v>264.72000000000003</v>
      </c>
      <c r="E24" s="422" t="s">
        <v>279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8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19"/>
      <c r="B27" s="419"/>
      <c r="C27" s="420" t="s">
        <v>95</v>
      </c>
      <c r="D27" s="421">
        <f>SUM(C17*C19+D17*D19+E17*E19)</f>
        <v>12340.8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kGAwEfpfp2RThRsoIeTWJ0D3lqqzZT7krxh5526P8EzoidMCkdweeKLqyujrnxQiIQmEEkRpXjL0T/dH4x+QLg==" saltValue="V6bbqaWNSn927q1Tjp6hMw==" spinCount="100000" sheet="1" selectLockedCells="1"/>
  <mergeCells count="4">
    <mergeCell ref="A1:H1"/>
    <mergeCell ref="G10:H15"/>
    <mergeCell ref="F16:H16"/>
    <mergeCell ref="B26:G26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600-000000000000}"/>
  </dataValidations>
  <hyperlinks>
    <hyperlink ref="H34" r:id="rId1" xr:uid="{00000000-0004-0000-2600-000001000000}"/>
    <hyperlink ref="H38" r:id="rId2" xr:uid="{00000000-0004-0000-2600-000002000000}"/>
    <hyperlink ref="H37" r:id="rId3" xr:uid="{00000000-0004-0000-2600-000003000000}"/>
    <hyperlink ref="H36" r:id="rId4" xr:uid="{00000000-0004-0000-26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>
    <tabColor theme="3"/>
  </sheetPr>
  <dimension ref="A1:R48"/>
  <sheetViews>
    <sheetView showGridLines="0" showRowColHeaders="0" zoomScaleNormal="100" workbookViewId="0">
      <selection activeCell="C8" sqref="C8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1" t="s">
        <v>271</v>
      </c>
      <c r="B1" s="561"/>
      <c r="C1" s="561"/>
      <c r="D1" s="561"/>
      <c r="E1" s="561"/>
      <c r="F1" s="561"/>
      <c r="G1" s="561"/>
      <c r="H1" s="561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268</v>
      </c>
      <c r="D7" s="227" t="s">
        <v>269</v>
      </c>
      <c r="E7" s="228" t="s">
        <v>270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0.17</v>
      </c>
      <c r="D8" s="154">
        <v>0.33</v>
      </c>
      <c r="E8" s="153">
        <v>0.5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66</v>
      </c>
      <c r="C9" s="206">
        <v>0.67</v>
      </c>
      <c r="D9" s="230">
        <v>1.34</v>
      </c>
      <c r="E9" s="206">
        <v>2</v>
      </c>
      <c r="F9" s="203"/>
    </row>
    <row r="10" spans="1:8" ht="12.75" customHeight="1" x14ac:dyDescent="0.25">
      <c r="B10" s="207" t="s">
        <v>1</v>
      </c>
      <c r="C10" s="208">
        <f>+(E5*C8)/C9</f>
        <v>50.746268656716417</v>
      </c>
      <c r="D10" s="231">
        <f>+(E5*D8)/D9</f>
        <v>49.253731343283576</v>
      </c>
      <c r="E10" s="208">
        <f>+(E5*E8)/E9</f>
        <v>50</v>
      </c>
      <c r="F10" s="203"/>
      <c r="G10" s="501" t="s">
        <v>254</v>
      </c>
      <c r="H10" s="501"/>
    </row>
    <row r="11" spans="1:8" ht="12.75" customHeight="1" x14ac:dyDescent="0.25">
      <c r="B11" s="209" t="s">
        <v>67</v>
      </c>
      <c r="C11" s="206">
        <v>90</v>
      </c>
      <c r="D11" s="230">
        <v>42</v>
      </c>
      <c r="E11" s="206">
        <v>30</v>
      </c>
      <c r="F11" s="232"/>
      <c r="G11" s="501"/>
      <c r="H11" s="501"/>
    </row>
    <row r="12" spans="1:8" ht="12.75" customHeight="1" thickBot="1" x14ac:dyDescent="0.3">
      <c r="B12" s="115" t="s">
        <v>83</v>
      </c>
      <c r="C12" s="138">
        <v>6</v>
      </c>
      <c r="D12" s="138">
        <v>6</v>
      </c>
      <c r="E12" s="105">
        <v>6</v>
      </c>
      <c r="F12" s="232"/>
      <c r="G12" s="501"/>
      <c r="H12" s="501"/>
    </row>
    <row r="13" spans="1:8" ht="18.75" hidden="1" customHeight="1" x14ac:dyDescent="0.25">
      <c r="B13" s="116" t="s">
        <v>63</v>
      </c>
      <c r="C13" s="138">
        <v>6</v>
      </c>
      <c r="D13" s="138">
        <v>6</v>
      </c>
      <c r="E13" s="105">
        <v>6</v>
      </c>
      <c r="F13" s="232"/>
      <c r="G13" s="501"/>
      <c r="H13" s="501"/>
    </row>
    <row r="14" spans="1:8" ht="18.75" hidden="1" customHeight="1" thickBot="1" x14ac:dyDescent="0.3">
      <c r="B14" s="116" t="s">
        <v>64</v>
      </c>
      <c r="C14" s="138">
        <v>6</v>
      </c>
      <c r="D14" s="138">
        <v>6</v>
      </c>
      <c r="E14" s="105">
        <v>6</v>
      </c>
      <c r="F14" s="232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32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9</v>
      </c>
      <c r="D16" s="119">
        <f>IF(ROUNDUP((D10-(D11*D15))/D12,0)&lt;0,0,ROUNDUP((D10-(D11*D15))/D12,0))</f>
        <v>2</v>
      </c>
      <c r="E16" s="119">
        <f>IF(ROUNDUP((E10-(E11*E15))/E12,0)&lt;0,0,ROUNDUP((E10-(E11*E15))/E12,0))</f>
        <v>4</v>
      </c>
      <c r="F16" s="528"/>
      <c r="G16" s="528"/>
      <c r="H16" s="528"/>
    </row>
    <row r="17" spans="1:18" ht="18" customHeight="1" x14ac:dyDescent="0.25">
      <c r="B17" s="140" t="s">
        <v>65</v>
      </c>
      <c r="C17" s="123">
        <f>(C15*C11)+(ROUNDUP(C16/2,0)*C13)+(ROUNDDOWN(C16/2,0)*C14)</f>
        <v>54</v>
      </c>
      <c r="D17" s="123">
        <f>(D15*D11)+(ROUNDUP(D16/2,0)*D13)+(ROUNDDOWN(D16/2,0)*D14)</f>
        <v>54</v>
      </c>
      <c r="E17" s="123">
        <f>(E15*E11)+(ROUNDUP(E16/2,0)*E13)+(ROUNDDOWN(E16/2,0)*E14)</f>
        <v>54</v>
      </c>
      <c r="F17" s="232"/>
    </row>
    <row r="18" spans="1:18" ht="12.75" customHeight="1" x14ac:dyDescent="0.25">
      <c r="B18" s="143" t="s">
        <v>70</v>
      </c>
      <c r="C18" s="78">
        <v>2604.4</v>
      </c>
      <c r="D18" s="78">
        <v>2627.9</v>
      </c>
      <c r="E18" s="78">
        <v>2862.5</v>
      </c>
    </row>
    <row r="19" spans="1:18" ht="12.75" customHeight="1" x14ac:dyDescent="0.25">
      <c r="B19" s="217" t="s">
        <v>69</v>
      </c>
      <c r="C19" s="218">
        <v>28.9</v>
      </c>
      <c r="D19" s="218">
        <v>62.6</v>
      </c>
      <c r="E19" s="218">
        <v>95.4</v>
      </c>
    </row>
    <row r="20" spans="1:18" ht="12.75" hidden="1" customHeight="1" x14ac:dyDescent="0.25">
      <c r="B20" s="219" t="s">
        <v>71</v>
      </c>
      <c r="C20" s="78">
        <f>+C17*C9</f>
        <v>36.18</v>
      </c>
      <c r="D20" s="78">
        <f>+D17*D9</f>
        <v>72.36</v>
      </c>
      <c r="E20" s="78">
        <f>+E17*E9</f>
        <v>108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88</v>
      </c>
      <c r="C22" s="25"/>
      <c r="D22" s="25"/>
      <c r="E22" s="25"/>
    </row>
    <row r="23" spans="1:18" ht="12.75" customHeight="1" x14ac:dyDescent="0.25">
      <c r="B23" s="87" t="s">
        <v>49</v>
      </c>
    </row>
    <row r="24" spans="1:18" ht="18" customHeight="1" x14ac:dyDescent="0.25">
      <c r="A24" s="419"/>
      <c r="B24" s="419"/>
      <c r="C24" s="420" t="s">
        <v>92</v>
      </c>
      <c r="D24" s="421">
        <f>SUM(C20:E20)</f>
        <v>216.54</v>
      </c>
      <c r="E24" s="422" t="s">
        <v>279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18" ht="18" customHeight="1" x14ac:dyDescent="0.25">
      <c r="A27" s="419"/>
      <c r="B27" s="419"/>
      <c r="C27" s="420" t="s">
        <v>95</v>
      </c>
      <c r="D27" s="421">
        <f>SUM(C17*C19+D17*D19+E17*E19)</f>
        <v>10092.6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9D/1QHFqKtbtSXBAp5925+cKk20t4tCxRGrr2nmNYoOh+RADrpWN4opqpSDJKzfh/lnLowybs7buDy3C/QiR4w==" saltValue="uCG9fPYxoiDcjiaWevxMpQ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700-000000000000}"/>
  </dataValidations>
  <hyperlinks>
    <hyperlink ref="H34" r:id="rId1" xr:uid="{00000000-0004-0000-2700-000001000000}"/>
    <hyperlink ref="H38" r:id="rId2" xr:uid="{00000000-0004-0000-2700-000002000000}"/>
    <hyperlink ref="H37" r:id="rId3" xr:uid="{00000000-0004-0000-2700-000003000000}"/>
    <hyperlink ref="H36" r:id="rId4" xr:uid="{00000000-0004-0000-27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B56E-883F-442F-82E2-4D3E2A2BE095}">
  <sheetPr>
    <tabColor rgb="FFFFC000"/>
  </sheetPr>
  <dimension ref="A1:CC54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47" width="9.109375" style="23"/>
    <col min="48" max="48" width="9.109375" style="23" customWidth="1"/>
    <col min="49" max="16384" width="9.109375" style="23"/>
  </cols>
  <sheetData>
    <row r="1" spans="1:8" ht="24" customHeight="1" x14ac:dyDescent="0.25">
      <c r="A1" s="562" t="s">
        <v>288</v>
      </c>
      <c r="B1" s="562"/>
      <c r="C1" s="562"/>
      <c r="D1" s="562"/>
      <c r="E1" s="562"/>
      <c r="F1" s="562"/>
      <c r="G1" s="562"/>
      <c r="H1" s="562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20"/>
      <c r="C6" s="200"/>
      <c r="D6" s="22"/>
      <c r="E6" s="22"/>
    </row>
    <row r="7" spans="1:8" ht="18" customHeight="1" thickBot="1" x14ac:dyDescent="0.35">
      <c r="B7" s="201" t="s">
        <v>0</v>
      </c>
      <c r="C7" s="202" t="s">
        <v>78</v>
      </c>
      <c r="D7" s="203"/>
      <c r="E7" s="22"/>
      <c r="F7" s="3"/>
      <c r="G7" s="3"/>
      <c r="H7" s="3"/>
    </row>
    <row r="8" spans="1:8" ht="18" customHeight="1" thickTop="1" x14ac:dyDescent="0.3">
      <c r="B8" s="204" t="s">
        <v>11</v>
      </c>
      <c r="C8" s="153">
        <v>1</v>
      </c>
      <c r="D8" s="74">
        <f>SUM(C8)</f>
        <v>1</v>
      </c>
      <c r="F8" s="10"/>
      <c r="G8" s="3"/>
      <c r="H8" s="3"/>
    </row>
    <row r="9" spans="1:8" ht="18.75" hidden="1" customHeight="1" x14ac:dyDescent="0.25">
      <c r="B9" s="205" t="s">
        <v>66</v>
      </c>
      <c r="C9" s="206">
        <v>0.45829999999999999</v>
      </c>
      <c r="D9" s="203"/>
    </row>
    <row r="10" spans="1:8" ht="12.75" customHeight="1" x14ac:dyDescent="0.25">
      <c r="B10" s="207" t="s">
        <v>1</v>
      </c>
      <c r="C10" s="208">
        <f>+(E5*C8)/C9</f>
        <v>436.39537420903338</v>
      </c>
      <c r="D10" s="203"/>
      <c r="G10" s="501" t="s">
        <v>188</v>
      </c>
      <c r="H10" s="501"/>
    </row>
    <row r="11" spans="1:8" ht="12.75" customHeight="1" x14ac:dyDescent="0.3">
      <c r="B11" s="209" t="s">
        <v>67</v>
      </c>
      <c r="C11" s="206">
        <v>156</v>
      </c>
      <c r="D11" s="203"/>
      <c r="F11" s="210"/>
      <c r="G11" s="501"/>
      <c r="H11" s="501"/>
    </row>
    <row r="12" spans="1:8" ht="12.75" customHeight="1" thickBot="1" x14ac:dyDescent="0.35">
      <c r="B12" s="115" t="s">
        <v>83</v>
      </c>
      <c r="C12" s="138">
        <v>12</v>
      </c>
      <c r="D12" s="203"/>
      <c r="F12" s="210"/>
      <c r="G12" s="501"/>
      <c r="H12" s="501"/>
    </row>
    <row r="13" spans="1:8" ht="18.75" hidden="1" customHeight="1" x14ac:dyDescent="0.25">
      <c r="B13" s="116" t="s">
        <v>63</v>
      </c>
      <c r="C13" s="138">
        <v>12</v>
      </c>
      <c r="D13" s="211"/>
      <c r="E13" s="212"/>
      <c r="G13" s="501"/>
      <c r="H13" s="501"/>
    </row>
    <row r="14" spans="1:8" ht="18.75" hidden="1" customHeight="1" thickBot="1" x14ac:dyDescent="0.3">
      <c r="B14" s="116" t="s">
        <v>64</v>
      </c>
      <c r="C14" s="138">
        <v>12</v>
      </c>
      <c r="D14" s="213"/>
      <c r="E14" s="214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2</v>
      </c>
      <c r="D15" s="215"/>
      <c r="E15" s="216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11</v>
      </c>
      <c r="D16" s="215"/>
      <c r="E16" s="216"/>
    </row>
    <row r="17" spans="1:81" ht="18" customHeight="1" x14ac:dyDescent="0.25">
      <c r="B17" s="140" t="s">
        <v>65</v>
      </c>
      <c r="C17" s="141">
        <f>(C15*C11)+(ROUNDUP(C16/2,0)*C13)+(ROUNDDOWN(C16/2,0)*C14)</f>
        <v>444</v>
      </c>
      <c r="D17" s="215"/>
      <c r="E17" s="216"/>
    </row>
    <row r="18" spans="1:81" ht="12.75" customHeight="1" x14ac:dyDescent="0.25">
      <c r="B18" s="143" t="s">
        <v>70</v>
      </c>
      <c r="C18" s="78">
        <v>2821</v>
      </c>
      <c r="D18" s="215"/>
      <c r="E18" s="216"/>
    </row>
    <row r="19" spans="1:81" ht="12.75" customHeight="1" x14ac:dyDescent="0.25">
      <c r="B19" s="217" t="s">
        <v>69</v>
      </c>
      <c r="C19" s="218">
        <v>18.079999999999998</v>
      </c>
      <c r="D19" s="215"/>
      <c r="E19" s="216"/>
    </row>
    <row r="20" spans="1:81" ht="12.75" hidden="1" customHeight="1" x14ac:dyDescent="0.25">
      <c r="B20" s="219" t="s">
        <v>71</v>
      </c>
      <c r="C20" s="78">
        <f>+C17*C9</f>
        <v>203.48519999999999</v>
      </c>
      <c r="D20" s="215"/>
      <c r="E20" s="216"/>
    </row>
    <row r="21" spans="1:81" ht="12.75" customHeight="1" x14ac:dyDescent="0.25">
      <c r="B21" s="203"/>
      <c r="C21" s="203"/>
      <c r="D21" s="203"/>
    </row>
    <row r="22" spans="1:81" ht="18" customHeight="1" x14ac:dyDescent="0.25">
      <c r="A22" s="415"/>
      <c r="B22" s="415"/>
      <c r="C22" s="416" t="s">
        <v>92</v>
      </c>
      <c r="D22" s="417">
        <f>SUM(C20)</f>
        <v>203.48519999999999</v>
      </c>
      <c r="E22" s="418" t="s">
        <v>289</v>
      </c>
      <c r="F22" s="415"/>
      <c r="G22" s="415"/>
      <c r="H22" s="415"/>
    </row>
    <row r="23" spans="1:81" ht="18" customHeight="1" x14ac:dyDescent="0.25">
      <c r="A23" s="35"/>
      <c r="B23" s="35"/>
      <c r="C23" s="220" t="s">
        <v>94</v>
      </c>
      <c r="D23" s="221">
        <f>ROUND(+D22/30,0)</f>
        <v>7</v>
      </c>
      <c r="E23" s="226" t="s">
        <v>4</v>
      </c>
      <c r="F23" s="35"/>
      <c r="G23" s="35"/>
      <c r="H23" s="35"/>
    </row>
    <row r="24" spans="1:81" ht="12.75" customHeight="1" x14ac:dyDescent="0.25">
      <c r="A24" s="39"/>
      <c r="B24" s="498" t="s">
        <v>8</v>
      </c>
      <c r="C24" s="498"/>
      <c r="D24" s="498"/>
      <c r="E24" s="498"/>
      <c r="F24" s="498"/>
      <c r="G24" s="498"/>
      <c r="H24" s="35"/>
    </row>
    <row r="25" spans="1:81" ht="18" customHeight="1" x14ac:dyDescent="0.25">
      <c r="A25" s="415"/>
      <c r="B25" s="415"/>
      <c r="C25" s="416" t="s">
        <v>95</v>
      </c>
      <c r="D25" s="417">
        <f>SUM(C17*C19)</f>
        <v>8027.5199999999995</v>
      </c>
      <c r="E25" s="418" t="s">
        <v>3</v>
      </c>
      <c r="F25" s="415"/>
      <c r="G25" s="415"/>
      <c r="H25" s="415"/>
    </row>
    <row r="26" spans="1:81" s="17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</row>
    <row r="27" spans="1:81" s="17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</row>
    <row r="29" spans="1:81" s="17" customFormat="1" ht="18" customHeight="1" x14ac:dyDescent="0.25">
      <c r="A29" s="23"/>
      <c r="B29" s="23"/>
      <c r="C29" s="23"/>
      <c r="D29" s="23"/>
      <c r="E29" s="23"/>
      <c r="F29" s="23"/>
      <c r="G29" s="23"/>
      <c r="H29" s="223" t="s">
        <v>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</row>
    <row r="31" spans="1:81" s="17" customFormat="1" ht="12.75" customHeight="1" x14ac:dyDescent="0.25">
      <c r="A31" s="23"/>
      <c r="B31" s="23"/>
      <c r="C31" s="23"/>
      <c r="D31" s="23"/>
      <c r="E31" s="23"/>
      <c r="F31" s="23"/>
      <c r="G31" s="23"/>
      <c r="H31" s="224" t="s">
        <v>55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</row>
    <row r="33" spans="1:8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8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</row>
    <row r="35" spans="1:8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58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8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10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</row>
    <row r="37" spans="1:8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25" t="s">
        <v>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8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</row>
    <row r="39" spans="1:8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8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</row>
    <row r="41" spans="1:8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8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</row>
    <row r="43" spans="1:8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81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</row>
    <row r="45" spans="1:81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</row>
    <row r="46" spans="1:8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1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1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sheetProtection algorithmName="SHA-512" hashValue="AdKx0ZjZXdmyS4zFORQMd/KO+1u7qeKBxdsd2Z1kdE4Kbh/obBuQqUOfoxhXoSItV9TsLXHeXKWFdl3RJ4p8lw==" saltValue="6PAySbQHN1m04jZdsQBZ2w==" spinCount="100000" sheet="1" selectLockedCells="1"/>
  <mergeCells count="3">
    <mergeCell ref="A1:H1"/>
    <mergeCell ref="G10:H15"/>
    <mergeCell ref="B24:G24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D2E133C3-3D88-421D-A747-4DD0CE1357C1}"/>
  </dataValidations>
  <hyperlinks>
    <hyperlink ref="H36" r:id="rId1" xr:uid="{AC1B5BF3-C602-4E15-B72D-6FE0A9C95B56}"/>
    <hyperlink ref="H35" r:id="rId2" xr:uid="{9E018635-DEC8-4671-A6D5-31E2A79FF929}"/>
    <hyperlink ref="H34" r:id="rId3" xr:uid="{CAEBFB62-39C6-4294-BF7F-24A4FED99626}"/>
  </hyperlinks>
  <pageMargins left="0.75" right="0.75" top="1" bottom="1" header="0.5" footer="0.5"/>
  <pageSetup orientation="portrait" r:id="rId4"/>
  <headerFooter alignWithMargins="0"/>
  <drawing r:id="rId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rgb="FFFFC000"/>
  </sheetPr>
  <dimension ref="A1:CC54"/>
  <sheetViews>
    <sheetView showGridLines="0" showRowColHeaders="0" zoomScaleNormal="100" workbookViewId="0">
      <selection activeCell="C16" sqref="C1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47" width="9.109375" style="23"/>
    <col min="48" max="48" width="9.109375" style="23" customWidth="1"/>
    <col min="49" max="16384" width="9.109375" style="23"/>
  </cols>
  <sheetData>
    <row r="1" spans="1:8" ht="24" customHeight="1" x14ac:dyDescent="0.25">
      <c r="A1" s="562" t="s">
        <v>77</v>
      </c>
      <c r="B1" s="562"/>
      <c r="C1" s="562"/>
      <c r="D1" s="562"/>
      <c r="E1" s="562"/>
      <c r="F1" s="562"/>
      <c r="G1" s="562"/>
      <c r="H1" s="562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20"/>
      <c r="C6" s="200"/>
      <c r="D6" s="22"/>
      <c r="E6" s="22"/>
    </row>
    <row r="7" spans="1:8" ht="18" customHeight="1" thickBot="1" x14ac:dyDescent="0.35">
      <c r="B7" s="201" t="s">
        <v>0</v>
      </c>
      <c r="C7" s="202" t="s">
        <v>78</v>
      </c>
      <c r="D7" s="203"/>
      <c r="E7" s="22"/>
      <c r="F7" s="3"/>
      <c r="G7" s="3"/>
      <c r="H7" s="3"/>
    </row>
    <row r="8" spans="1:8" ht="18" customHeight="1" thickTop="1" x14ac:dyDescent="0.3">
      <c r="B8" s="204" t="s">
        <v>11</v>
      </c>
      <c r="C8" s="153">
        <v>1</v>
      </c>
      <c r="D8" s="74">
        <f>SUM(C8)</f>
        <v>1</v>
      </c>
      <c r="F8" s="10"/>
      <c r="G8" s="3"/>
      <c r="H8" s="3"/>
    </row>
    <row r="9" spans="1:8" ht="18.75" hidden="1" customHeight="1" x14ac:dyDescent="0.25">
      <c r="B9" s="205" t="s">
        <v>66</v>
      </c>
      <c r="C9" s="206">
        <v>0.76</v>
      </c>
      <c r="D9" s="203"/>
    </row>
    <row r="10" spans="1:8" ht="12.75" customHeight="1" x14ac:dyDescent="0.25">
      <c r="B10" s="207" t="s">
        <v>1</v>
      </c>
      <c r="C10" s="208">
        <f>+(E5*C8)/C9</f>
        <v>263.15789473684208</v>
      </c>
      <c r="D10" s="203"/>
      <c r="G10" s="501" t="s">
        <v>188</v>
      </c>
      <c r="H10" s="501"/>
    </row>
    <row r="11" spans="1:8" ht="12.75" customHeight="1" x14ac:dyDescent="0.3">
      <c r="B11" s="209" t="s">
        <v>67</v>
      </c>
      <c r="C11" s="206">
        <v>117</v>
      </c>
      <c r="D11" s="203"/>
      <c r="F11" s="210"/>
      <c r="G11" s="501"/>
      <c r="H11" s="501"/>
    </row>
    <row r="12" spans="1:8" ht="12.75" customHeight="1" thickBot="1" x14ac:dyDescent="0.35">
      <c r="B12" s="115" t="s">
        <v>83</v>
      </c>
      <c r="C12" s="138">
        <v>13</v>
      </c>
      <c r="D12" s="203"/>
      <c r="F12" s="210"/>
      <c r="G12" s="501"/>
      <c r="H12" s="501"/>
    </row>
    <row r="13" spans="1:8" ht="18.75" hidden="1" customHeight="1" x14ac:dyDescent="0.25">
      <c r="B13" s="116" t="s">
        <v>63</v>
      </c>
      <c r="C13" s="138">
        <v>13</v>
      </c>
      <c r="D13" s="211"/>
      <c r="E13" s="212"/>
      <c r="G13" s="501"/>
      <c r="H13" s="501"/>
    </row>
    <row r="14" spans="1:8" ht="18.75" hidden="1" customHeight="1" thickBot="1" x14ac:dyDescent="0.3">
      <c r="B14" s="116" t="s">
        <v>64</v>
      </c>
      <c r="C14" s="138">
        <v>13</v>
      </c>
      <c r="D14" s="213"/>
      <c r="E14" s="214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2</v>
      </c>
      <c r="D15" s="215"/>
      <c r="E15" s="216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3</v>
      </c>
      <c r="D16" s="215"/>
      <c r="E16" s="216"/>
    </row>
    <row r="17" spans="1:81" ht="18" customHeight="1" x14ac:dyDescent="0.25">
      <c r="B17" s="140" t="s">
        <v>65</v>
      </c>
      <c r="C17" s="141">
        <f>(C15*C11)+(ROUNDUP(C16/2,0)*C13)+(ROUNDDOWN(C16/2,0)*C14)</f>
        <v>273</v>
      </c>
      <c r="D17" s="215"/>
      <c r="E17" s="216"/>
    </row>
    <row r="18" spans="1:81" ht="12.75" customHeight="1" x14ac:dyDescent="0.25">
      <c r="B18" s="143" t="s">
        <v>70</v>
      </c>
      <c r="C18" s="78">
        <f>C11*C19</f>
        <v>3119.22</v>
      </c>
      <c r="D18" s="215"/>
      <c r="E18" s="216"/>
    </row>
    <row r="19" spans="1:81" ht="12.75" customHeight="1" x14ac:dyDescent="0.25">
      <c r="B19" s="217" t="s">
        <v>69</v>
      </c>
      <c r="C19" s="218">
        <v>26.66</v>
      </c>
      <c r="D19" s="215"/>
      <c r="E19" s="216"/>
    </row>
    <row r="20" spans="1:81" ht="12.75" hidden="1" customHeight="1" x14ac:dyDescent="0.25">
      <c r="B20" s="219" t="s">
        <v>71</v>
      </c>
      <c r="C20" s="78">
        <f>+C17*C9</f>
        <v>207.48</v>
      </c>
      <c r="D20" s="215"/>
      <c r="E20" s="216"/>
    </row>
    <row r="21" spans="1:81" ht="12.75" customHeight="1" x14ac:dyDescent="0.25">
      <c r="B21" s="203"/>
      <c r="C21" s="203"/>
      <c r="D21" s="203"/>
    </row>
    <row r="22" spans="1:81" ht="18" customHeight="1" x14ac:dyDescent="0.25">
      <c r="A22" s="415"/>
      <c r="B22" s="415"/>
      <c r="C22" s="416" t="s">
        <v>92</v>
      </c>
      <c r="D22" s="417">
        <f>SUM(C20)</f>
        <v>207.48</v>
      </c>
      <c r="E22" s="418" t="s">
        <v>82</v>
      </c>
      <c r="F22" s="415"/>
      <c r="G22" s="415"/>
      <c r="H22" s="415"/>
    </row>
    <row r="23" spans="1:81" ht="18" customHeight="1" x14ac:dyDescent="0.25">
      <c r="A23" s="35"/>
      <c r="B23" s="35"/>
      <c r="C23" s="220" t="s">
        <v>94</v>
      </c>
      <c r="D23" s="221">
        <f>ROUND(+D22/35,0)</f>
        <v>6</v>
      </c>
      <c r="E23" s="226" t="s">
        <v>4</v>
      </c>
      <c r="F23" s="35"/>
      <c r="G23" s="35"/>
      <c r="H23" s="35"/>
    </row>
    <row r="24" spans="1:81" ht="12.75" customHeight="1" x14ac:dyDescent="0.25">
      <c r="A24" s="39"/>
      <c r="B24" s="498" t="s">
        <v>8</v>
      </c>
      <c r="C24" s="498"/>
      <c r="D24" s="498"/>
      <c r="E24" s="498"/>
      <c r="F24" s="498"/>
      <c r="G24" s="498"/>
      <c r="H24" s="35"/>
    </row>
    <row r="25" spans="1:81" ht="18" customHeight="1" x14ac:dyDescent="0.25">
      <c r="A25" s="415"/>
      <c r="B25" s="415"/>
      <c r="C25" s="416" t="s">
        <v>95</v>
      </c>
      <c r="D25" s="417">
        <f>SUM(C17*C19)</f>
        <v>7278.18</v>
      </c>
      <c r="E25" s="418" t="s">
        <v>3</v>
      </c>
      <c r="F25" s="415"/>
      <c r="G25" s="415"/>
      <c r="H25" s="415"/>
    </row>
    <row r="26" spans="1:81" s="17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</row>
    <row r="27" spans="1:81" s="17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</row>
    <row r="29" spans="1:81" s="17" customFormat="1" ht="18" customHeight="1" x14ac:dyDescent="0.25">
      <c r="A29" s="23"/>
      <c r="B29" s="23"/>
      <c r="C29" s="23"/>
      <c r="D29" s="23"/>
      <c r="E29" s="23"/>
      <c r="F29" s="23"/>
      <c r="G29" s="23"/>
      <c r="H29" s="223" t="s">
        <v>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</row>
    <row r="31" spans="1:81" s="17" customFormat="1" ht="12.75" customHeight="1" x14ac:dyDescent="0.25">
      <c r="A31" s="23"/>
      <c r="B31" s="23"/>
      <c r="C31" s="23"/>
      <c r="D31" s="23"/>
      <c r="E31" s="23"/>
      <c r="F31" s="23"/>
      <c r="G31" s="23"/>
      <c r="H31" s="224" t="s">
        <v>55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</row>
    <row r="33" spans="1:8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8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</row>
    <row r="35" spans="1:8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58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8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10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</row>
    <row r="37" spans="1:8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25" t="s">
        <v>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8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</row>
    <row r="39" spans="1:8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8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</row>
    <row r="41" spans="1:8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8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</row>
    <row r="43" spans="1:8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81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</row>
    <row r="45" spans="1:81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</row>
    <row r="46" spans="1:8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1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1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sheetProtection selectLockedCells="1"/>
  <mergeCells count="3">
    <mergeCell ref="A1:H1"/>
    <mergeCell ref="G10:H15"/>
    <mergeCell ref="B24:G24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A00-000000000000}"/>
  </dataValidations>
  <hyperlinks>
    <hyperlink ref="H36" r:id="rId1" xr:uid="{00000000-0004-0000-1A00-000000000000}"/>
    <hyperlink ref="H35" r:id="rId2" xr:uid="{00000000-0004-0000-1A00-000001000000}"/>
    <hyperlink ref="H34" r:id="rId3" xr:uid="{00000000-0004-0000-1A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tabColor rgb="FFFFC000"/>
  </sheetPr>
  <dimension ref="A1:R55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62" t="s">
        <v>80</v>
      </c>
      <c r="B1" s="562"/>
      <c r="C1" s="562"/>
      <c r="D1" s="562"/>
      <c r="E1" s="562"/>
      <c r="F1" s="562"/>
      <c r="G1" s="562"/>
      <c r="H1" s="562"/>
    </row>
    <row r="2" spans="1:8" ht="12.75" customHeight="1" x14ac:dyDescent="0.25"/>
    <row r="3" spans="1:8" ht="18" customHeight="1" x14ac:dyDescent="0.3">
      <c r="B3" s="41"/>
      <c r="C3" s="36"/>
      <c r="D3" s="94" t="s">
        <v>86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85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20"/>
      <c r="C6" s="200"/>
      <c r="D6" s="22"/>
      <c r="E6" s="22"/>
    </row>
    <row r="7" spans="1:8" ht="18" customHeight="1" thickBot="1" x14ac:dyDescent="0.35">
      <c r="B7" s="201" t="s">
        <v>0</v>
      </c>
      <c r="C7" s="202" t="s">
        <v>79</v>
      </c>
      <c r="D7" s="203"/>
      <c r="E7" s="22"/>
      <c r="F7" s="3"/>
      <c r="G7" s="3"/>
      <c r="H7" s="3"/>
    </row>
    <row r="8" spans="1:8" ht="18" customHeight="1" thickTop="1" x14ac:dyDescent="0.3">
      <c r="B8" s="204" t="s">
        <v>11</v>
      </c>
      <c r="C8" s="153">
        <v>1</v>
      </c>
      <c r="D8" s="74">
        <f>SUM(C8)</f>
        <v>1</v>
      </c>
      <c r="F8" s="10"/>
      <c r="G8" s="3"/>
      <c r="H8" s="3"/>
    </row>
    <row r="9" spans="1:8" ht="18.75" hidden="1" customHeight="1" x14ac:dyDescent="0.25">
      <c r="B9" s="205" t="s">
        <v>66</v>
      </c>
      <c r="C9" s="206">
        <v>0.25509999999999999</v>
      </c>
      <c r="D9" s="203"/>
    </row>
    <row r="10" spans="1:8" ht="12.75" customHeight="1" x14ac:dyDescent="0.25">
      <c r="B10" s="207" t="s">
        <v>1</v>
      </c>
      <c r="C10" s="208">
        <f>+(E5*C8)/C9</f>
        <v>784.00627205017645</v>
      </c>
      <c r="D10" s="203"/>
      <c r="G10" s="501" t="s">
        <v>189</v>
      </c>
      <c r="H10" s="501"/>
    </row>
    <row r="11" spans="1:8" ht="12.75" customHeight="1" x14ac:dyDescent="0.3">
      <c r="B11" s="209" t="s">
        <v>67</v>
      </c>
      <c r="C11" s="206">
        <v>342</v>
      </c>
      <c r="D11" s="203"/>
      <c r="F11" s="210"/>
      <c r="G11" s="501"/>
      <c r="H11" s="501"/>
    </row>
    <row r="12" spans="1:8" ht="12.75" customHeight="1" thickBot="1" x14ac:dyDescent="0.35">
      <c r="B12" s="115" t="s">
        <v>83</v>
      </c>
      <c r="C12" s="138">
        <v>38</v>
      </c>
      <c r="D12" s="203"/>
      <c r="F12" s="210"/>
      <c r="G12" s="501"/>
      <c r="H12" s="501"/>
    </row>
    <row r="13" spans="1:8" ht="18.75" hidden="1" customHeight="1" x14ac:dyDescent="0.25">
      <c r="B13" s="116" t="s">
        <v>63</v>
      </c>
      <c r="C13" s="138">
        <v>38</v>
      </c>
      <c r="D13" s="211"/>
      <c r="E13" s="212"/>
      <c r="G13" s="501"/>
      <c r="H13" s="501"/>
    </row>
    <row r="14" spans="1:8" ht="18.75" hidden="1" customHeight="1" thickBot="1" x14ac:dyDescent="0.3">
      <c r="B14" s="116" t="s">
        <v>64</v>
      </c>
      <c r="C14" s="138">
        <v>38</v>
      </c>
      <c r="D14" s="213"/>
      <c r="E14" s="214"/>
      <c r="G14" s="501"/>
      <c r="H14" s="501"/>
    </row>
    <row r="15" spans="1:8" ht="18" customHeight="1" thickBot="1" x14ac:dyDescent="0.3">
      <c r="B15" s="52" t="s">
        <v>68</v>
      </c>
      <c r="C15" s="119">
        <f>IF(MOD(C10+C13,C11)&lt;=C13,1+ROUNDDOWN(C10/C11,0),ROUNDDOWN(C10/C11,0))</f>
        <v>2</v>
      </c>
      <c r="D15" s="215"/>
      <c r="E15" s="216"/>
      <c r="G15" s="501"/>
      <c r="H15" s="501"/>
    </row>
    <row r="16" spans="1:8" ht="18" customHeight="1" thickBot="1" x14ac:dyDescent="0.3">
      <c r="B16" s="139" t="s">
        <v>84</v>
      </c>
      <c r="C16" s="119">
        <f>IF(ROUNDUP((C10-(C11*C15))/C12,0)&lt;0,0,ROUNDUP((C10-(C11*C15))/C12,0))</f>
        <v>3</v>
      </c>
      <c r="D16" s="215"/>
      <c r="E16" s="216"/>
    </row>
    <row r="17" spans="1:18" ht="18" customHeight="1" x14ac:dyDescent="0.25">
      <c r="B17" s="140" t="s">
        <v>65</v>
      </c>
      <c r="C17" s="141">
        <f>(C15*C11)+(ROUNDUP(C16/2,0)*C13)+(ROUNDDOWN(C16/2,0)*C14)</f>
        <v>798</v>
      </c>
      <c r="D17" s="215"/>
      <c r="E17" s="216"/>
    </row>
    <row r="18" spans="1:18" ht="12.75" customHeight="1" x14ac:dyDescent="0.25">
      <c r="B18" s="143" t="s">
        <v>70</v>
      </c>
      <c r="C18" s="78">
        <f>C11*C19</f>
        <v>3039.0633000000003</v>
      </c>
      <c r="D18" s="215"/>
      <c r="E18" s="216"/>
    </row>
    <row r="19" spans="1:18" ht="12.75" customHeight="1" x14ac:dyDescent="0.25">
      <c r="B19" s="217" t="s">
        <v>69</v>
      </c>
      <c r="C19" s="218">
        <v>8.8861500000000007</v>
      </c>
      <c r="D19" s="215"/>
      <c r="E19" s="216"/>
    </row>
    <row r="20" spans="1:18" ht="12.75" hidden="1" customHeight="1" x14ac:dyDescent="0.25">
      <c r="B20" s="219" t="s">
        <v>71</v>
      </c>
      <c r="C20" s="78">
        <f>+C17*C9</f>
        <v>203.56979999999999</v>
      </c>
      <c r="D20" s="215"/>
      <c r="E20" s="216"/>
    </row>
    <row r="21" spans="1:18" ht="12.75" customHeight="1" x14ac:dyDescent="0.25"/>
    <row r="22" spans="1:18" ht="18" customHeight="1" x14ac:dyDescent="0.25">
      <c r="A22" s="415"/>
      <c r="B22" s="415"/>
      <c r="C22" s="416" t="s">
        <v>92</v>
      </c>
      <c r="D22" s="417">
        <f>SUM(C20)</f>
        <v>203.56979999999999</v>
      </c>
      <c r="E22" s="418" t="s">
        <v>81</v>
      </c>
      <c r="F22" s="415"/>
      <c r="G22" s="415"/>
      <c r="H22" s="415"/>
    </row>
    <row r="23" spans="1:18" ht="18" customHeight="1" x14ac:dyDescent="0.25">
      <c r="A23" s="35"/>
      <c r="B23" s="35"/>
      <c r="C23" s="220" t="s">
        <v>94</v>
      </c>
      <c r="D23" s="221">
        <f>ROUND(+D22/30,0)</f>
        <v>7</v>
      </c>
      <c r="E23" s="222" t="s">
        <v>4</v>
      </c>
      <c r="F23" s="35"/>
      <c r="G23" s="35"/>
      <c r="H23" s="35"/>
    </row>
    <row r="24" spans="1:18" ht="12.75" customHeight="1" x14ac:dyDescent="0.25">
      <c r="A24" s="39"/>
      <c r="B24" s="498" t="s">
        <v>8</v>
      </c>
      <c r="C24" s="498"/>
      <c r="D24" s="498"/>
      <c r="E24" s="498"/>
      <c r="F24" s="498"/>
      <c r="G24" s="498"/>
      <c r="H24" s="35"/>
    </row>
    <row r="25" spans="1:18" ht="18" customHeight="1" x14ac:dyDescent="0.25">
      <c r="A25" s="415"/>
      <c r="B25" s="415"/>
      <c r="C25" s="416" t="s">
        <v>95</v>
      </c>
      <c r="D25" s="417">
        <f>SUM(C17*C19)</f>
        <v>7091.1477000000004</v>
      </c>
      <c r="E25" s="418" t="s">
        <v>3</v>
      </c>
      <c r="F25" s="415"/>
      <c r="G25" s="415"/>
      <c r="H25" s="415"/>
    </row>
    <row r="26" spans="1:18" s="17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 s="17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ht="18" customHeight="1" x14ac:dyDescent="0.25">
      <c r="A29" s="23"/>
      <c r="B29" s="23"/>
      <c r="C29" s="23"/>
      <c r="D29" s="23"/>
      <c r="E29" s="23"/>
      <c r="F29" s="23"/>
      <c r="G29" s="23"/>
      <c r="H29" s="223" t="s">
        <v>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2.75" customHeight="1" x14ac:dyDescent="0.25">
      <c r="A31" s="23"/>
      <c r="B31" s="23"/>
      <c r="C31" s="23"/>
      <c r="D31" s="23"/>
      <c r="E31" s="23"/>
      <c r="F31" s="23"/>
      <c r="G31" s="23"/>
      <c r="H31" s="224" t="s">
        <v>55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24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58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10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25" t="s">
        <v>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25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</sheetData>
  <sheetProtection algorithmName="SHA-512" hashValue="r0FnZ/HJ01oQr0auRL0ZME2zUSQ8nGGUONbrIQIY+YUzaaouMNiJZ08U8GhSEx74NuSMJyI0n3gf+sOhxbOMBg==" saltValue="NB5CF2z5TFo6oY7AWwUc5A==" spinCount="100000" sheet="1" selectLockedCells="1"/>
  <mergeCells count="3">
    <mergeCell ref="A1:H1"/>
    <mergeCell ref="G10:H15"/>
    <mergeCell ref="B24:G24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B00-000000000000}"/>
  </dataValidations>
  <hyperlinks>
    <hyperlink ref="H36" r:id="rId1" xr:uid="{00000000-0004-0000-1B00-000000000000}"/>
    <hyperlink ref="H35" r:id="rId2" xr:uid="{00000000-0004-0000-1B00-000001000000}"/>
    <hyperlink ref="H34" r:id="rId3" xr:uid="{00000000-0004-0000-1B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3">
    <tabColor theme="9"/>
    <pageSetUpPr autoPageBreaks="0"/>
  </sheetPr>
  <dimension ref="A1:H48"/>
  <sheetViews>
    <sheetView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159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8" customHeight="1" x14ac:dyDescent="0.3">
      <c r="A7" s="22"/>
      <c r="B7" s="42"/>
      <c r="C7" s="43"/>
      <c r="D7" s="134" t="s">
        <v>172</v>
      </c>
      <c r="E7" s="198">
        <v>0.375</v>
      </c>
      <c r="F7" s="158"/>
      <c r="G7" s="2"/>
      <c r="H7" s="3"/>
    </row>
    <row r="8" spans="1:8" ht="12.75" customHeight="1" x14ac:dyDescent="0.25">
      <c r="A8" s="22"/>
      <c r="B8" s="522" t="s">
        <v>173</v>
      </c>
      <c r="C8" s="522"/>
      <c r="D8" s="522"/>
      <c r="E8" s="522"/>
      <c r="F8" s="522"/>
      <c r="G8" s="160"/>
      <c r="H8" s="160"/>
    </row>
    <row r="9" spans="1:8" ht="18" customHeight="1" x14ac:dyDescent="0.25">
      <c r="A9" s="22"/>
      <c r="B9" s="25"/>
      <c r="C9" s="25"/>
      <c r="D9" s="25"/>
      <c r="E9" s="22"/>
      <c r="F9" s="22"/>
      <c r="G9" s="160"/>
      <c r="H9" s="160"/>
    </row>
    <row r="10" spans="1:8" ht="18" customHeight="1" thickBot="1" x14ac:dyDescent="0.35">
      <c r="A10" s="22"/>
      <c r="B10" s="273" t="s">
        <v>99</v>
      </c>
      <c r="C10" s="274"/>
      <c r="D10" s="161"/>
      <c r="E10" s="506" t="s">
        <v>98</v>
      </c>
      <c r="F10" s="507"/>
      <c r="G10" s="174" t="s">
        <v>109</v>
      </c>
      <c r="H10" s="3"/>
    </row>
    <row r="11" spans="1:8" ht="18" customHeight="1" thickTop="1" x14ac:dyDescent="0.3">
      <c r="A11" s="22"/>
      <c r="B11" s="275" t="s">
        <v>100</v>
      </c>
      <c r="C11" s="276">
        <f>E5</f>
        <v>200</v>
      </c>
      <c r="D11" s="161"/>
      <c r="E11" s="508" t="s">
        <v>168</v>
      </c>
      <c r="F11" s="509"/>
      <c r="G11" s="175">
        <f>E6</f>
        <v>50</v>
      </c>
      <c r="H11" s="3"/>
    </row>
    <row r="12" spans="1:8" ht="18" customHeight="1" x14ac:dyDescent="0.3">
      <c r="A12" s="22"/>
      <c r="B12" s="277" t="s">
        <v>174</v>
      </c>
      <c r="C12" s="278">
        <v>0.375</v>
      </c>
      <c r="D12" s="161"/>
      <c r="E12" s="349"/>
      <c r="F12" s="350" t="s">
        <v>175</v>
      </c>
      <c r="G12" s="183">
        <f>60/3.625</f>
        <v>16.551724137931036</v>
      </c>
      <c r="H12" s="3"/>
    </row>
    <row r="13" spans="1:8" ht="18" customHeight="1" x14ac:dyDescent="0.3">
      <c r="A13" s="22"/>
      <c r="B13" s="277" t="s">
        <v>176</v>
      </c>
      <c r="C13" s="278">
        <v>0.5</v>
      </c>
      <c r="D13" s="161"/>
      <c r="E13" s="349"/>
      <c r="F13" s="350"/>
      <c r="G13" s="183"/>
      <c r="H13" s="3"/>
    </row>
    <row r="14" spans="1:8" ht="18" customHeight="1" x14ac:dyDescent="0.3">
      <c r="A14" s="22"/>
      <c r="B14" s="279" t="s">
        <v>177</v>
      </c>
      <c r="C14" s="280">
        <f>(23.625*2.125)/144</f>
        <v>0.3486328125</v>
      </c>
      <c r="D14" s="161"/>
      <c r="E14" s="349"/>
      <c r="F14" s="350"/>
      <c r="G14" s="184"/>
      <c r="H14" s="3"/>
    </row>
    <row r="15" spans="1:8" ht="18" customHeight="1" x14ac:dyDescent="0.3">
      <c r="A15" s="22"/>
      <c r="B15" s="279" t="s">
        <v>67</v>
      </c>
      <c r="C15" s="280">
        <f>100/C14</f>
        <v>286.83473389355743</v>
      </c>
      <c r="D15" s="161"/>
      <c r="E15" s="349"/>
      <c r="F15" s="350"/>
      <c r="G15" s="184"/>
      <c r="H15" s="3"/>
    </row>
    <row r="16" spans="1:8" ht="18" customHeight="1" x14ac:dyDescent="0.3">
      <c r="A16" s="22"/>
      <c r="B16" s="279" t="s">
        <v>175</v>
      </c>
      <c r="C16" s="280">
        <f>5/C14</f>
        <v>14.341736694677872</v>
      </c>
      <c r="D16" s="161"/>
      <c r="E16" s="349"/>
      <c r="F16" s="350"/>
      <c r="G16" s="184"/>
      <c r="H16" s="3"/>
    </row>
    <row r="17" spans="1:8" ht="18" customHeight="1" x14ac:dyDescent="0.3">
      <c r="A17" s="22"/>
      <c r="B17" s="279" t="s">
        <v>178</v>
      </c>
      <c r="C17" s="280">
        <f>(24*2.5)/144</f>
        <v>0.41666666666666669</v>
      </c>
      <c r="D17" s="161"/>
      <c r="E17" s="349"/>
      <c r="F17" s="350"/>
      <c r="G17" s="184"/>
      <c r="H17" s="3"/>
    </row>
    <row r="18" spans="1:8" ht="18" customHeight="1" x14ac:dyDescent="0.3">
      <c r="A18" s="22"/>
      <c r="B18" s="279" t="s">
        <v>179</v>
      </c>
      <c r="C18" s="280">
        <f>(24.125*2.625)/144</f>
        <v>0.43977864583333331</v>
      </c>
      <c r="D18" s="161"/>
      <c r="E18" s="349"/>
      <c r="F18" s="350"/>
      <c r="G18" s="184"/>
      <c r="H18" s="3"/>
    </row>
    <row r="19" spans="1:8" ht="18" customHeight="1" x14ac:dyDescent="0.25">
      <c r="A19" s="22"/>
      <c r="B19" s="279" t="s">
        <v>111</v>
      </c>
      <c r="C19" s="281">
        <f>IF(E7=0.375,(C15*C17),(C15*C18))</f>
        <v>119.51447245564893</v>
      </c>
      <c r="D19" s="161"/>
      <c r="E19" s="185"/>
      <c r="F19" s="186" t="s">
        <v>108</v>
      </c>
      <c r="G19" s="187">
        <f>IF(E7=0.375,(G12*4/12),(G12*4.125/12))</f>
        <v>5.5172413793103452</v>
      </c>
      <c r="H19" s="162"/>
    </row>
    <row r="20" spans="1:8" ht="18" customHeight="1" thickBot="1" x14ac:dyDescent="0.3">
      <c r="A20" s="22"/>
      <c r="B20" s="279" t="s">
        <v>110</v>
      </c>
      <c r="C20" s="282">
        <f>IF(E7=0.375,(C16*C17),(C16*C18))</f>
        <v>5.9757236227824464</v>
      </c>
      <c r="D20" s="161"/>
      <c r="E20" s="188"/>
      <c r="F20" s="189"/>
      <c r="G20" s="190"/>
      <c r="H20" s="162"/>
    </row>
    <row r="21" spans="1:8" ht="18" customHeight="1" thickTop="1" thickBot="1" x14ac:dyDescent="0.3">
      <c r="A21" s="22"/>
      <c r="B21" s="283" t="s">
        <v>68</v>
      </c>
      <c r="C21" s="284">
        <f>IF(MOD(C11,C19)&lt;=(C19*0.65),ROUNDDOWN(+E5/C19,0),ROUNDUP(+E5/C19,0))</f>
        <v>2</v>
      </c>
      <c r="D21" s="161"/>
      <c r="E21" s="516" t="s">
        <v>107</v>
      </c>
      <c r="F21" s="517"/>
      <c r="G21" s="284">
        <f>ROUNDUP(E6/G19,0)</f>
        <v>10</v>
      </c>
      <c r="H21" s="162"/>
    </row>
    <row r="22" spans="1:8" ht="18" customHeight="1" thickTop="1" x14ac:dyDescent="0.25">
      <c r="A22" s="22"/>
      <c r="B22" s="285" t="s">
        <v>112</v>
      </c>
      <c r="C22" s="284">
        <f>IF(ROUNDUP((C11-(C19*C21)),0)&lt;0,0,ROUNDUP((C11-(C19*C21))/C20,0))</f>
        <v>0</v>
      </c>
      <c r="D22" s="161"/>
      <c r="E22" s="518" t="s">
        <v>75</v>
      </c>
      <c r="F22" s="518"/>
      <c r="G22" s="286">
        <v>48</v>
      </c>
    </row>
    <row r="23" spans="1:8" ht="18" customHeight="1" x14ac:dyDescent="0.25">
      <c r="A23" s="22"/>
      <c r="B23" s="287" t="s">
        <v>70</v>
      </c>
      <c r="C23" s="78">
        <v>1510</v>
      </c>
      <c r="D23" s="161"/>
    </row>
    <row r="24" spans="1:8" ht="18" customHeight="1" x14ac:dyDescent="0.25">
      <c r="A24" s="22"/>
      <c r="B24" s="217" t="s">
        <v>113</v>
      </c>
      <c r="C24" s="157">
        <v>75</v>
      </c>
      <c r="D24" s="161"/>
      <c r="E24" s="161"/>
      <c r="F24" s="161"/>
      <c r="G24" s="161"/>
    </row>
    <row r="25" spans="1:8" ht="12.75" customHeight="1" x14ac:dyDescent="0.25">
      <c r="A25" s="22"/>
      <c r="B25" s="217"/>
      <c r="C25" s="157"/>
      <c r="D25" s="161"/>
      <c r="E25" s="161"/>
      <c r="F25" s="161"/>
      <c r="G25" s="161"/>
    </row>
    <row r="26" spans="1:8" ht="18" customHeight="1" x14ac:dyDescent="0.25">
      <c r="A26" s="176"/>
      <c r="B26" s="176"/>
      <c r="C26" s="177" t="s">
        <v>114</v>
      </c>
      <c r="D26" s="178">
        <f>(C21*C19)+(C22*C20)</f>
        <v>239.02894491129786</v>
      </c>
      <c r="E26" s="179" t="s">
        <v>181</v>
      </c>
      <c r="F26" s="176"/>
      <c r="G26" s="176"/>
      <c r="H26" s="176"/>
    </row>
    <row r="27" spans="1:8" s="11" customFormat="1" ht="18" customHeight="1" x14ac:dyDescent="0.25">
      <c r="A27" s="176"/>
      <c r="B27" s="176"/>
      <c r="C27" s="177" t="s">
        <v>101</v>
      </c>
      <c r="D27" s="178">
        <f>(C21*C23)+(C22*C24)</f>
        <v>3020</v>
      </c>
      <c r="E27" s="179" t="s">
        <v>3</v>
      </c>
      <c r="F27" s="176"/>
      <c r="G27" s="176"/>
      <c r="H27" s="176"/>
    </row>
    <row r="28" spans="1:8" s="11" customFormat="1" ht="18" customHeight="1" x14ac:dyDescent="0.3">
      <c r="A28" s="288"/>
      <c r="B28" s="288"/>
      <c r="C28" s="289" t="s">
        <v>97</v>
      </c>
      <c r="D28" s="290">
        <f>G19*G21</f>
        <v>55.172413793103452</v>
      </c>
      <c r="E28" s="291" t="s">
        <v>182</v>
      </c>
      <c r="F28" s="292"/>
      <c r="G28" s="288"/>
      <c r="H28" s="293"/>
    </row>
    <row r="29" spans="1:8" s="11" customFormat="1" ht="18" customHeight="1" x14ac:dyDescent="0.3">
      <c r="A29" s="288"/>
      <c r="B29" s="288"/>
      <c r="C29" s="289" t="s">
        <v>102</v>
      </c>
      <c r="D29" s="290">
        <f>G21*G22</f>
        <v>480</v>
      </c>
      <c r="E29" s="291" t="s">
        <v>3</v>
      </c>
      <c r="F29" s="292"/>
      <c r="G29" s="288"/>
      <c r="H29" s="293"/>
    </row>
    <row r="30" spans="1:8" s="11" customFormat="1" ht="18" customHeight="1" x14ac:dyDescent="0.25">
      <c r="A30" s="39"/>
      <c r="B30" s="39"/>
      <c r="C30" s="69" t="s">
        <v>94</v>
      </c>
      <c r="D30" s="70">
        <f>ROUND(+D26/25,0)</f>
        <v>10</v>
      </c>
      <c r="E30" s="294" t="s">
        <v>169</v>
      </c>
      <c r="F30" s="40"/>
      <c r="G30" s="39"/>
      <c r="H30" s="35"/>
    </row>
    <row r="31" spans="1:8" s="11" customFormat="1" ht="18" customHeight="1" x14ac:dyDescent="0.25">
      <c r="A31" s="39"/>
      <c r="B31" s="295"/>
      <c r="C31" s="69" t="s">
        <v>94</v>
      </c>
      <c r="D31" s="70">
        <f>IF(E7=0.375,ROUND(+D26/60,0),ROUND(+D26/45,0))</f>
        <v>4</v>
      </c>
      <c r="E31" s="294" t="s">
        <v>180</v>
      </c>
      <c r="F31" s="40"/>
      <c r="G31" s="39"/>
      <c r="H31" s="35"/>
    </row>
    <row r="32" spans="1:8" s="11" customFormat="1" x14ac:dyDescent="0.25">
      <c r="A32" s="39"/>
      <c r="B32" s="521" t="s">
        <v>8</v>
      </c>
      <c r="C32" s="521"/>
      <c r="D32" s="521"/>
      <c r="E32" s="521"/>
      <c r="F32" s="521"/>
      <c r="G32" s="521"/>
      <c r="H32" s="35"/>
    </row>
    <row r="33" spans="1:8" s="11" customFormat="1" ht="18" customHeight="1" x14ac:dyDescent="0.25">
      <c r="A33" s="176"/>
      <c r="B33" s="176"/>
      <c r="C33" s="177" t="s">
        <v>96</v>
      </c>
      <c r="D33" s="178">
        <f>SUM(D27+D29)</f>
        <v>3500</v>
      </c>
      <c r="E33" s="179" t="s">
        <v>3</v>
      </c>
      <c r="F33" s="176"/>
      <c r="G33" s="176"/>
      <c r="H33" s="180"/>
    </row>
    <row r="34" spans="1:8" s="11" customFormat="1" ht="12.75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s="11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s="11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s="11" customFormat="1" ht="17.399999999999999" x14ac:dyDescent="0.25">
      <c r="A37" s="23"/>
      <c r="B37" s="23"/>
      <c r="C37" s="23"/>
      <c r="D37" s="23"/>
      <c r="E37" s="23"/>
      <c r="F37" s="23"/>
      <c r="G37" s="23"/>
      <c r="H37" s="223" t="s">
        <v>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11" customFormat="1" ht="12.75" customHeight="1" x14ac:dyDescent="0.25">
      <c r="A39" s="13"/>
      <c r="B39" s="13"/>
      <c r="C39" s="13"/>
      <c r="D39" s="13"/>
      <c r="F39" s="13"/>
      <c r="G39" s="13"/>
      <c r="H39" s="224" t="s">
        <v>55</v>
      </c>
    </row>
    <row r="40" spans="1:8" ht="12.75" customHeight="1" x14ac:dyDescent="0.25">
      <c r="A40" s="13"/>
      <c r="B40" s="13"/>
      <c r="C40" s="13"/>
      <c r="D40" s="13"/>
      <c r="E40" s="13"/>
      <c r="F40" s="13"/>
      <c r="G40" s="13"/>
      <c r="H40" s="199" t="s">
        <v>54</v>
      </c>
    </row>
    <row r="41" spans="1:8" ht="12.75" customHeight="1" x14ac:dyDescent="0.25">
      <c r="A41" s="13"/>
      <c r="B41" s="13"/>
      <c r="C41" s="13"/>
      <c r="D41" s="13"/>
      <c r="E41" s="13"/>
      <c r="F41" s="13"/>
      <c r="G41" s="13"/>
      <c r="H41" s="246"/>
    </row>
    <row r="42" spans="1:8" ht="12.75" customHeight="1" x14ac:dyDescent="0.25">
      <c r="A42" s="13"/>
      <c r="B42" s="13"/>
      <c r="C42" s="13"/>
      <c r="D42" s="13"/>
      <c r="E42" s="13"/>
      <c r="F42" s="13"/>
      <c r="G42" s="13"/>
      <c r="H42" s="199" t="s">
        <v>56</v>
      </c>
    </row>
    <row r="43" spans="1:8" ht="12.75" customHeight="1" x14ac:dyDescent="0.25">
      <c r="A43" s="13"/>
      <c r="B43" s="13"/>
      <c r="C43" s="13"/>
      <c r="D43" s="13"/>
      <c r="E43" s="13"/>
      <c r="F43" s="13"/>
      <c r="G43" s="11"/>
      <c r="H43" s="199" t="s">
        <v>10</v>
      </c>
    </row>
    <row r="44" spans="1:8" ht="12.75" customHeight="1" x14ac:dyDescent="0.25">
      <c r="A44" s="13"/>
      <c r="B44" s="13"/>
      <c r="C44" s="13"/>
      <c r="D44" s="13"/>
      <c r="E44" s="13"/>
      <c r="F44" s="13"/>
      <c r="G44" s="11"/>
      <c r="H44" s="225" t="s">
        <v>7</v>
      </c>
    </row>
    <row r="45" spans="1:8" ht="12.75" customHeight="1" x14ac:dyDescent="0.25">
      <c r="A45" s="13"/>
      <c r="B45" s="13"/>
      <c r="C45" s="13"/>
      <c r="D45" s="13"/>
      <c r="E45" s="13"/>
      <c r="F45" s="13"/>
      <c r="G45" s="11"/>
      <c r="H45" s="225"/>
    </row>
    <row r="46" spans="1:8" ht="21" customHeight="1" x14ac:dyDescent="0.3">
      <c r="B46" s="15" t="s">
        <v>16</v>
      </c>
      <c r="C46" s="519"/>
      <c r="D46" s="519"/>
      <c r="E46" s="519"/>
      <c r="F46" s="519"/>
      <c r="G46" s="519"/>
      <c r="H46" s="519"/>
    </row>
    <row r="47" spans="1:8" ht="21" customHeight="1" x14ac:dyDescent="0.25">
      <c r="B47" s="13"/>
      <c r="C47" s="520"/>
      <c r="D47" s="520"/>
      <c r="E47" s="520"/>
      <c r="F47" s="520"/>
      <c r="G47" s="520"/>
      <c r="H47" s="520"/>
    </row>
    <row r="48" spans="1:8" ht="21" customHeight="1" x14ac:dyDescent="0.25">
      <c r="C48" s="520"/>
      <c r="D48" s="520"/>
      <c r="E48" s="520"/>
      <c r="F48" s="520"/>
      <c r="G48" s="520"/>
      <c r="H48" s="520"/>
    </row>
  </sheetData>
  <sheetProtection selectLockedCells="1"/>
  <mergeCells count="10">
    <mergeCell ref="B32:G32"/>
    <mergeCell ref="C46:H46"/>
    <mergeCell ref="C47:H47"/>
    <mergeCell ref="C48:H48"/>
    <mergeCell ref="A1:H1"/>
    <mergeCell ref="B8:F8"/>
    <mergeCell ref="E10:F10"/>
    <mergeCell ref="E11:F11"/>
    <mergeCell ref="E21:F21"/>
    <mergeCell ref="E22:F22"/>
  </mergeCells>
  <dataValidations disablePrompts="1" count="3">
    <dataValidation type="list" allowBlank="1" showInputMessage="1" showErrorMessage="1" sqref="E7" xr:uid="{00000000-0002-0000-2800-000000000000}">
      <formula1>$C$12:$C$13</formula1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2800-000001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2800-000002000000}">
      <formula1>0</formula1>
      <formula2>100</formula2>
    </dataValidation>
  </dataValidations>
  <hyperlinks>
    <hyperlink ref="H43" r:id="rId1" xr:uid="{00000000-0004-0000-2800-000000000000}"/>
    <hyperlink ref="H40" r:id="rId2" xr:uid="{00000000-0004-0000-2800-000001000000}"/>
    <hyperlink ref="H42" r:id="rId3" xr:uid="{00000000-0004-0000-28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>
    <tabColor theme="8"/>
  </sheetPr>
  <dimension ref="A1:UL59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558" s="314" customFormat="1" ht="24" customHeight="1" x14ac:dyDescent="0.25">
      <c r="A1" s="496" t="s">
        <v>190</v>
      </c>
      <c r="B1" s="496"/>
      <c r="C1" s="496"/>
      <c r="D1" s="496"/>
      <c r="E1" s="496"/>
      <c r="F1" s="496"/>
      <c r="G1" s="496"/>
      <c r="H1" s="496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</row>
    <row r="2" spans="1:558" ht="12.75" customHeight="1" x14ac:dyDescent="0.25">
      <c r="A2" s="22"/>
      <c r="B2" s="22"/>
      <c r="C2" s="22"/>
      <c r="D2" s="22"/>
      <c r="E2" s="22"/>
      <c r="F2" s="22"/>
      <c r="G2" s="22"/>
    </row>
    <row r="3" spans="1:558" ht="18" customHeight="1" x14ac:dyDescent="0.3">
      <c r="A3" s="22"/>
      <c r="B3" s="41"/>
      <c r="C3" s="36"/>
      <c r="D3" s="94" t="s">
        <v>86</v>
      </c>
      <c r="E3" s="96">
        <v>200</v>
      </c>
      <c r="F3" s="2"/>
      <c r="G3" s="2"/>
      <c r="H3" s="3"/>
    </row>
    <row r="4" spans="1:55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558" ht="18" customHeight="1" x14ac:dyDescent="0.3">
      <c r="A5" s="22"/>
      <c r="B5" s="35"/>
      <c r="C5" s="36"/>
      <c r="D5" s="95" t="s">
        <v>85</v>
      </c>
      <c r="E5" s="344">
        <f>E3+E3*E4/100</f>
        <v>200</v>
      </c>
      <c r="F5" s="2"/>
      <c r="G5" s="2"/>
      <c r="H5" s="3"/>
    </row>
    <row r="6" spans="1:558" ht="12.75" customHeight="1" x14ac:dyDescent="0.25">
      <c r="A6" s="22"/>
      <c r="B6" s="9"/>
      <c r="C6" s="22"/>
      <c r="D6" s="22"/>
      <c r="E6" s="22"/>
      <c r="F6" s="22"/>
      <c r="G6" s="22"/>
    </row>
    <row r="7" spans="1:558" ht="18" customHeight="1" thickBot="1" x14ac:dyDescent="0.35">
      <c r="A7" s="22"/>
      <c r="B7" s="269" t="s">
        <v>0</v>
      </c>
      <c r="C7" s="101" t="s">
        <v>60</v>
      </c>
      <c r="D7" s="315" t="s">
        <v>61</v>
      </c>
      <c r="E7" s="253"/>
      <c r="F7" s="4"/>
      <c r="G7" s="4"/>
      <c r="H7" s="1"/>
    </row>
    <row r="8" spans="1:558" ht="18" customHeight="1" thickTop="1" x14ac:dyDescent="0.3">
      <c r="A8" s="22"/>
      <c r="B8" s="103" t="s">
        <v>11</v>
      </c>
      <c r="C8" s="88">
        <v>0.75</v>
      </c>
      <c r="D8" s="89">
        <v>0.25</v>
      </c>
      <c r="E8" s="74">
        <f>SUM(A8,B8,C8,D8)</f>
        <v>1</v>
      </c>
      <c r="F8" s="4"/>
      <c r="G8" s="4"/>
      <c r="H8" s="1"/>
    </row>
    <row r="9" spans="1:558" ht="18.75" hidden="1" customHeight="1" x14ac:dyDescent="0.25">
      <c r="A9" s="22"/>
      <c r="B9" s="51" t="s">
        <v>66</v>
      </c>
      <c r="C9" s="104">
        <v>0.89</v>
      </c>
      <c r="D9" s="105">
        <v>1.79</v>
      </c>
      <c r="E9" s="161"/>
      <c r="F9" s="22"/>
      <c r="G9" s="22"/>
    </row>
    <row r="10" spans="1:558" ht="12.75" customHeight="1" x14ac:dyDescent="0.3">
      <c r="A10" s="22"/>
      <c r="B10" s="50" t="s">
        <v>1</v>
      </c>
      <c r="C10" s="106">
        <f>+($E$5*C8)/C9</f>
        <v>168.53932584269663</v>
      </c>
      <c r="D10" s="107">
        <f>+($E$5*D8)/D9</f>
        <v>27.932960893854748</v>
      </c>
      <c r="E10" s="316"/>
      <c r="F10" s="22"/>
      <c r="G10" s="501" t="s">
        <v>89</v>
      </c>
      <c r="H10" s="501"/>
    </row>
    <row r="11" spans="1:558" ht="12.75" customHeight="1" x14ac:dyDescent="0.25">
      <c r="A11" s="22"/>
      <c r="B11" s="51" t="s">
        <v>67</v>
      </c>
      <c r="C11" s="104">
        <v>84</v>
      </c>
      <c r="D11" s="105">
        <v>39</v>
      </c>
      <c r="E11" s="317"/>
      <c r="F11" s="22"/>
      <c r="G11" s="501"/>
      <c r="H11" s="501"/>
    </row>
    <row r="12" spans="1:558" ht="12.75" customHeight="1" thickBot="1" x14ac:dyDescent="0.3">
      <c r="A12" s="22"/>
      <c r="B12" s="115" t="s">
        <v>83</v>
      </c>
      <c r="C12" s="318">
        <v>12</v>
      </c>
      <c r="D12" s="319">
        <v>13</v>
      </c>
      <c r="E12" s="317"/>
      <c r="F12" s="22"/>
      <c r="G12" s="501"/>
      <c r="H12" s="501"/>
    </row>
    <row r="13" spans="1:558" ht="18" hidden="1" customHeight="1" x14ac:dyDescent="0.25">
      <c r="A13" s="22"/>
      <c r="B13" s="116" t="s">
        <v>63</v>
      </c>
      <c r="C13" s="117">
        <v>12</v>
      </c>
      <c r="D13" s="118">
        <v>13</v>
      </c>
      <c r="E13" s="317"/>
      <c r="F13" s="22"/>
      <c r="G13" s="501"/>
      <c r="H13" s="501"/>
    </row>
    <row r="14" spans="1:558" ht="18" hidden="1" customHeight="1" thickBot="1" x14ac:dyDescent="0.3">
      <c r="A14" s="22"/>
      <c r="B14" s="116" t="s">
        <v>64</v>
      </c>
      <c r="C14" s="117">
        <v>12</v>
      </c>
      <c r="D14" s="118">
        <v>13</v>
      </c>
      <c r="E14" s="317"/>
      <c r="F14" s="22"/>
      <c r="G14" s="501"/>
      <c r="H14" s="501"/>
    </row>
    <row r="15" spans="1:558" ht="18" customHeight="1" thickBot="1" x14ac:dyDescent="0.3">
      <c r="A15" s="22"/>
      <c r="B15" s="139" t="s">
        <v>68</v>
      </c>
      <c r="C15" s="119">
        <f>IF(MOD(C10+C13,C11)&lt;=C13,1+ROUNDDOWN(C10/C11,0),ROUNDDOWN(C10/C11,0))</f>
        <v>2</v>
      </c>
      <c r="D15" s="120">
        <f>IF(MOD(D10+D13,D11)&lt;=D13,1+ROUNDDOWN(D10/D11,0),ROUNDDOWN(D10/D11,0))</f>
        <v>1</v>
      </c>
      <c r="E15" s="317"/>
      <c r="F15" s="22"/>
      <c r="G15" s="501"/>
      <c r="H15" s="501"/>
    </row>
    <row r="16" spans="1:558" ht="18" customHeight="1" thickBot="1" x14ac:dyDescent="0.3">
      <c r="A16" s="22"/>
      <c r="B16" s="121" t="s">
        <v>84</v>
      </c>
      <c r="C16" s="119">
        <f>IF(ROUNDUP((C10-(C11*C15))/C12,0)&lt;0,0,ROUNDUP((C10-(C11*C15))/C12,0))</f>
        <v>1</v>
      </c>
      <c r="D16" s="120">
        <f>IF(ROUNDUP((D10-(D11*D15))/D12,0)&lt;0,0,ROUNDUP((D10-(D11*D15))/D12,0))</f>
        <v>0</v>
      </c>
      <c r="E16" s="317"/>
      <c r="F16" s="22"/>
      <c r="G16" s="22"/>
    </row>
    <row r="17" spans="1:558" ht="18" customHeight="1" x14ac:dyDescent="0.25">
      <c r="A17" s="22"/>
      <c r="B17" s="122" t="s">
        <v>65</v>
      </c>
      <c r="C17" s="123">
        <f>(C15*C11)+(ROUNDUP(C16/2,0)*C13)+(ROUNDDOWN(C16/2,0)*C14)</f>
        <v>180</v>
      </c>
      <c r="D17" s="124">
        <f>(D15*D11)+(ROUNDUP(D16/2,0)*D13)+(ROUNDDOWN(D16/2,0)*D14)</f>
        <v>39</v>
      </c>
      <c r="E17" s="317"/>
      <c r="F17" s="22"/>
      <c r="G17" s="22"/>
    </row>
    <row r="18" spans="1:558" ht="12.75" customHeight="1" x14ac:dyDescent="0.25">
      <c r="A18" s="22"/>
      <c r="B18" s="144" t="s">
        <v>70</v>
      </c>
      <c r="C18" s="25">
        <f>C11*C19</f>
        <v>2325.12</v>
      </c>
      <c r="D18" s="25">
        <f>D11*D19</f>
        <v>2469.87</v>
      </c>
      <c r="E18" s="25"/>
      <c r="F18" s="22"/>
      <c r="G18" s="22"/>
    </row>
    <row r="19" spans="1:558" ht="12.75" customHeight="1" x14ac:dyDescent="0.25">
      <c r="A19" s="22"/>
      <c r="B19" s="266" t="s">
        <v>69</v>
      </c>
      <c r="C19" s="32">
        <v>27.68</v>
      </c>
      <c r="D19" s="32">
        <v>63.33</v>
      </c>
      <c r="E19" s="257"/>
      <c r="F19" s="22"/>
      <c r="G19" s="22"/>
    </row>
    <row r="20" spans="1:558" ht="18" hidden="1" customHeight="1" x14ac:dyDescent="0.25">
      <c r="A20" s="22"/>
      <c r="B20" s="24" t="s">
        <v>71</v>
      </c>
      <c r="C20" s="257">
        <f>+C17*C9</f>
        <v>160.19999999999999</v>
      </c>
      <c r="D20" s="257">
        <f>D17*D9</f>
        <v>69.81</v>
      </c>
      <c r="E20" s="161"/>
      <c r="F20" s="22"/>
      <c r="G20" s="22"/>
    </row>
    <row r="21" spans="1:558" ht="12.75" customHeight="1" x14ac:dyDescent="0.25">
      <c r="A21" s="22"/>
      <c r="B21" s="24"/>
      <c r="C21" s="257"/>
      <c r="D21" s="257"/>
      <c r="E21" s="161"/>
      <c r="F21" s="22"/>
      <c r="G21" s="22"/>
    </row>
    <row r="22" spans="1:558" ht="12.75" customHeight="1" x14ac:dyDescent="0.25">
      <c r="A22" s="22"/>
      <c r="B22" s="86" t="s">
        <v>88</v>
      </c>
      <c r="C22" s="257"/>
      <c r="D22" s="257"/>
      <c r="E22" s="161"/>
      <c r="F22" s="22"/>
      <c r="G22" s="22"/>
    </row>
    <row r="23" spans="1:558" ht="12.75" customHeight="1" x14ac:dyDescent="0.25">
      <c r="A23" s="22"/>
      <c r="B23" s="87" t="s">
        <v>49</v>
      </c>
      <c r="C23" s="22"/>
      <c r="D23" s="22"/>
      <c r="E23" s="22"/>
      <c r="F23" s="22"/>
      <c r="G23" s="22"/>
    </row>
    <row r="24" spans="1:558" ht="18" customHeight="1" x14ac:dyDescent="0.25">
      <c r="A24" s="34"/>
      <c r="B24" s="34"/>
      <c r="C24" s="68" t="s">
        <v>92</v>
      </c>
      <c r="D24" s="164">
        <f>SUM(C20:D20)</f>
        <v>230.01</v>
      </c>
      <c r="E24" s="72" t="s">
        <v>74</v>
      </c>
      <c r="F24" s="34"/>
      <c r="G24" s="34"/>
      <c r="H24" s="34"/>
      <c r="K24" s="22"/>
    </row>
    <row r="25" spans="1:558" ht="18" customHeight="1" x14ac:dyDescent="0.25">
      <c r="A25" s="39"/>
      <c r="B25" s="39"/>
      <c r="C25" s="69" t="s">
        <v>94</v>
      </c>
      <c r="D25" s="70">
        <f>ROUND(+D24/35,0)</f>
        <v>7</v>
      </c>
      <c r="E25" s="73" t="s">
        <v>4</v>
      </c>
      <c r="F25" s="39"/>
      <c r="G25" s="39"/>
      <c r="H25" s="35"/>
    </row>
    <row r="26" spans="1:558" ht="12.75" customHeight="1" x14ac:dyDescent="0.25">
      <c r="A26" s="39"/>
      <c r="B26" s="498" t="s">
        <v>8</v>
      </c>
      <c r="C26" s="498"/>
      <c r="D26" s="498"/>
      <c r="E26" s="498"/>
      <c r="F26" s="498"/>
      <c r="G26" s="498"/>
      <c r="H26" s="35"/>
    </row>
    <row r="27" spans="1:558" ht="18" customHeight="1" x14ac:dyDescent="0.25">
      <c r="A27" s="34"/>
      <c r="B27" s="34"/>
      <c r="C27" s="68" t="s">
        <v>95</v>
      </c>
      <c r="D27" s="164">
        <f>SUM(C17*C19+D17*D19)</f>
        <v>7452.2699999999995</v>
      </c>
      <c r="E27" s="72" t="s">
        <v>3</v>
      </c>
      <c r="F27" s="34"/>
      <c r="G27" s="34"/>
      <c r="H27" s="34"/>
    </row>
    <row r="28" spans="1:558" s="17" customFormat="1" ht="12.75" customHeight="1" x14ac:dyDescent="0.25">
      <c r="A28" s="13"/>
      <c r="B28" s="13"/>
      <c r="C28" s="13"/>
      <c r="D28" s="13"/>
      <c r="E28" s="13"/>
      <c r="F28" s="13"/>
      <c r="G28" s="13"/>
      <c r="H28" s="1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</row>
    <row r="29" spans="1:558" s="17" customFormat="1" ht="12.75" customHeight="1" x14ac:dyDescent="0.25">
      <c r="A29" s="13"/>
      <c r="B29" s="13"/>
      <c r="C29" s="13"/>
      <c r="D29" s="13"/>
      <c r="E29" s="11"/>
      <c r="F29" s="11"/>
      <c r="G29" s="11"/>
      <c r="H29" s="1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</row>
    <row r="30" spans="1:558" s="17" customFormat="1" ht="12.75" customHeight="1" x14ac:dyDescent="0.25">
      <c r="A30" s="13"/>
      <c r="B30" s="13"/>
      <c r="C30" s="13"/>
      <c r="D30" s="13"/>
      <c r="E30" s="13"/>
      <c r="F30" s="11"/>
      <c r="G30" s="11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</row>
    <row r="31" spans="1:558" s="17" customFormat="1" ht="18" customHeight="1" x14ac:dyDescent="0.25">
      <c r="A31" s="13"/>
      <c r="B31" s="13"/>
      <c r="C31" s="13"/>
      <c r="D31" s="13"/>
      <c r="E31" s="13"/>
      <c r="F31" s="11"/>
      <c r="G31" s="11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</row>
    <row r="32" spans="1:558" s="17" customFormat="1" ht="12.75" customHeight="1" x14ac:dyDescent="0.25">
      <c r="A32" s="13"/>
      <c r="B32" s="13"/>
      <c r="C32" s="13"/>
      <c r="D32" s="13"/>
      <c r="E32" s="13"/>
      <c r="F32" s="11"/>
      <c r="G32" s="1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</row>
    <row r="33" spans="1:558" s="17" customFormat="1" ht="12.75" customHeight="1" x14ac:dyDescent="0.25">
      <c r="A33" s="13"/>
      <c r="B33" s="13"/>
      <c r="C33" s="13"/>
      <c r="D33" s="13"/>
      <c r="E33" s="13"/>
      <c r="F33" s="11"/>
      <c r="G33" s="13"/>
      <c r="H33" s="224" t="s">
        <v>55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</row>
    <row r="34" spans="1:558" s="17" customFormat="1" ht="12.75" customHeight="1" x14ac:dyDescent="0.25">
      <c r="A34" s="13"/>
      <c r="B34" s="13"/>
      <c r="C34" s="13"/>
      <c r="D34" s="13"/>
      <c r="E34" s="13"/>
      <c r="F34" s="11"/>
      <c r="G34" s="13"/>
      <c r="H34" s="199" t="s">
        <v>54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</row>
    <row r="35" spans="1:558" s="17" customFormat="1" ht="12.75" customHeight="1" x14ac:dyDescent="0.25">
      <c r="A35" s="13"/>
      <c r="B35" s="13"/>
      <c r="C35" s="13"/>
      <c r="D35" s="13"/>
      <c r="E35" s="13"/>
      <c r="F35" s="11"/>
      <c r="G35" s="13"/>
      <c r="H35" s="268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</row>
    <row r="36" spans="1:558" s="17" customFormat="1" ht="12.75" customHeight="1" x14ac:dyDescent="0.25">
      <c r="A36" s="13"/>
      <c r="B36" s="13"/>
      <c r="C36" s="13"/>
      <c r="D36" s="13"/>
      <c r="E36" s="13"/>
      <c r="F36" s="11"/>
      <c r="G36" s="1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</row>
    <row r="37" spans="1:558" s="17" customFormat="1" ht="12.75" customHeight="1" x14ac:dyDescent="0.25">
      <c r="A37" s="13"/>
      <c r="B37" s="13"/>
      <c r="C37" s="13"/>
      <c r="D37" s="13"/>
      <c r="E37" s="13"/>
      <c r="F37" s="11"/>
      <c r="G37" s="13"/>
      <c r="H37" s="199" t="s">
        <v>58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</row>
    <row r="38" spans="1:558" s="17" customFormat="1" ht="12.75" customHeight="1" x14ac:dyDescent="0.25">
      <c r="A38" s="13"/>
      <c r="B38" s="13"/>
      <c r="C38" s="13"/>
      <c r="D38" s="13"/>
      <c r="E38" s="13"/>
      <c r="F38" s="18"/>
      <c r="G38" s="1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</row>
    <row r="39" spans="1:558" s="17" customFormat="1" ht="12.75" customHeight="1" x14ac:dyDescent="0.25">
      <c r="A39" s="13"/>
      <c r="B39" s="13"/>
      <c r="C39" s="13"/>
      <c r="D39" s="13"/>
      <c r="E39" s="13"/>
      <c r="F39" s="18"/>
      <c r="G39" s="13"/>
      <c r="H39" s="270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</row>
    <row r="40" spans="1:55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  <c r="TW40" s="23"/>
      <c r="TX40" s="23"/>
      <c r="TY40" s="23"/>
      <c r="TZ40" s="23"/>
      <c r="UA40" s="23"/>
      <c r="UB40" s="23"/>
      <c r="UC40" s="23"/>
      <c r="UD40" s="23"/>
      <c r="UE40" s="23"/>
      <c r="UF40" s="23"/>
      <c r="UG40" s="23"/>
      <c r="UH40" s="23"/>
      <c r="UI40" s="23"/>
      <c r="UJ40" s="23"/>
      <c r="UK40" s="23"/>
      <c r="UL40" s="23"/>
    </row>
    <row r="41" spans="1:55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  <c r="TW41" s="23"/>
      <c r="TX41" s="23"/>
      <c r="TY41" s="23"/>
      <c r="TZ41" s="23"/>
      <c r="UA41" s="23"/>
      <c r="UB41" s="23"/>
      <c r="UC41" s="23"/>
      <c r="UD41" s="23"/>
      <c r="UE41" s="23"/>
      <c r="UF41" s="23"/>
      <c r="UG41" s="23"/>
      <c r="UH41" s="23"/>
      <c r="UI41" s="23"/>
      <c r="UJ41" s="23"/>
      <c r="UK41" s="23"/>
      <c r="UL41" s="23"/>
    </row>
    <row r="42" spans="1:55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</row>
    <row r="43" spans="1:55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</row>
    <row r="44" spans="1:55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  <c r="TW44" s="23"/>
      <c r="TX44" s="23"/>
      <c r="TY44" s="23"/>
      <c r="TZ44" s="23"/>
      <c r="UA44" s="23"/>
      <c r="UB44" s="23"/>
      <c r="UC44" s="23"/>
      <c r="UD44" s="23"/>
      <c r="UE44" s="23"/>
      <c r="UF44" s="23"/>
      <c r="UG44" s="23"/>
      <c r="UH44" s="23"/>
      <c r="UI44" s="23"/>
      <c r="UJ44" s="23"/>
      <c r="UK44" s="23"/>
      <c r="UL44" s="23"/>
    </row>
    <row r="45" spans="1:55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</row>
    <row r="46" spans="1:55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55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55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57" ht="12.75" customHeight="1" x14ac:dyDescent="0.25"/>
    <row r="58" ht="12.75" customHeight="1" x14ac:dyDescent="0.25"/>
    <row r="59" ht="12.75" customHeight="1" x14ac:dyDescent="0.25"/>
  </sheetData>
  <sheetProtection algorithmName="SHA-512" hashValue="SW9n+hrht62fStO7a1NIxGGoBdPZRy1lEtzY4w8qogHdNvT60g2c45B+prq0NuLyaTE8Z8oDCieTNZCsQq07Fw==" saltValue="KykWXxJ2ef7SaSk/GT4pdQ==" spinCount="100000" sheet="1" selectLockedCells="1"/>
  <mergeCells count="3">
    <mergeCell ref="A1:H1"/>
    <mergeCell ref="G10:H15"/>
    <mergeCell ref="B26:G26"/>
  </mergeCells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 Projects with a higher than average number of openings and corners may require a higher allowance. " sqref="E4" xr:uid="{00000000-0002-0000-0400-000000000000}">
      <formula1>5</formula1>
      <formula2>100</formula2>
    </dataValidation>
  </dataValidations>
  <hyperlinks>
    <hyperlink ref="H38" r:id="rId1" xr:uid="{00000000-0004-0000-0400-000000000000}"/>
    <hyperlink ref="H37" r:id="rId2" xr:uid="{00000000-0004-0000-0400-000001000000}"/>
    <hyperlink ref="H36" r:id="rId3" xr:uid="{00000000-0004-0000-0400-000002000000}"/>
    <hyperlink ref="H34" r:id="rId4" xr:uid="{00000000-0004-0000-04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4">
    <tabColor theme="9"/>
  </sheetPr>
  <dimension ref="A1:N43"/>
  <sheetViews>
    <sheetView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208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6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8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300" t="s">
        <v>99</v>
      </c>
      <c r="C8" s="301"/>
      <c r="D8" s="161"/>
      <c r="E8" s="506" t="s">
        <v>98</v>
      </c>
      <c r="F8" s="507"/>
      <c r="G8" s="174" t="s">
        <v>109</v>
      </c>
      <c r="H8" s="1"/>
    </row>
    <row r="9" spans="1:8" ht="18" customHeight="1" thickTop="1" x14ac:dyDescent="0.3">
      <c r="A9" s="22"/>
      <c r="B9" s="275" t="s">
        <v>100</v>
      </c>
      <c r="C9" s="276">
        <f>E5</f>
        <v>200</v>
      </c>
      <c r="D9" s="161"/>
      <c r="E9" s="508" t="s">
        <v>168</v>
      </c>
      <c r="F9" s="509"/>
      <c r="G9" s="175">
        <f>E6</f>
        <v>50</v>
      </c>
      <c r="H9" s="1"/>
    </row>
    <row r="10" spans="1:8" ht="18" customHeight="1" x14ac:dyDescent="0.25">
      <c r="A10" s="22"/>
      <c r="B10" s="279" t="s">
        <v>111</v>
      </c>
      <c r="C10" s="296">
        <v>100</v>
      </c>
      <c r="D10" s="161"/>
      <c r="E10" s="510" t="s">
        <v>108</v>
      </c>
      <c r="F10" s="511"/>
      <c r="G10" s="514">
        <v>5</v>
      </c>
      <c r="H10" s="162"/>
    </row>
    <row r="11" spans="1:8" ht="18" customHeight="1" thickBot="1" x14ac:dyDescent="0.3">
      <c r="A11" s="22"/>
      <c r="B11" s="302" t="s">
        <v>110</v>
      </c>
      <c r="C11" s="303">
        <v>5</v>
      </c>
      <c r="D11" s="161"/>
      <c r="E11" s="512"/>
      <c r="F11" s="513"/>
      <c r="G11" s="515"/>
      <c r="H11" s="162"/>
    </row>
    <row r="12" spans="1:8" ht="18" customHeight="1" thickTop="1" thickBot="1" x14ac:dyDescent="0.3">
      <c r="A12" s="22"/>
      <c r="B12" s="283" t="s">
        <v>68</v>
      </c>
      <c r="C12" s="284">
        <f>IF(MOD(C9,C10)&lt;=65,ROUNDDOWN(+E5/C10,0),ROUNDUP(+E5/C10,0))</f>
        <v>2</v>
      </c>
      <c r="D12" s="161"/>
      <c r="E12" s="516" t="s">
        <v>107</v>
      </c>
      <c r="F12" s="517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112</v>
      </c>
      <c r="C13" s="284">
        <f>IF(ROUNDUP((C9-(C10*C12)),0)&lt;0,0,ROUNDUP((C9-(C10*C12))/C11,0))</f>
        <v>0</v>
      </c>
      <c r="D13" s="161"/>
      <c r="E13" s="518" t="s">
        <v>75</v>
      </c>
      <c r="F13" s="518"/>
      <c r="G13" s="286">
        <v>50</v>
      </c>
    </row>
    <row r="14" spans="1:8" ht="18" customHeight="1" x14ac:dyDescent="0.25">
      <c r="A14" s="22"/>
      <c r="B14" s="287" t="s">
        <v>70</v>
      </c>
      <c r="C14" s="78">
        <v>1684</v>
      </c>
      <c r="D14" s="161"/>
      <c r="E14" s="161"/>
      <c r="F14" s="161"/>
      <c r="G14" s="161"/>
    </row>
    <row r="15" spans="1:8" ht="18" customHeight="1" x14ac:dyDescent="0.25">
      <c r="A15" s="22"/>
      <c r="B15" s="217" t="s">
        <v>113</v>
      </c>
      <c r="C15" s="157">
        <v>68</v>
      </c>
      <c r="D15" s="161"/>
      <c r="E15" s="161"/>
      <c r="F15" s="161"/>
      <c r="G15" s="161"/>
    </row>
    <row r="16" spans="1:8" ht="18" customHeight="1" x14ac:dyDescent="0.25">
      <c r="A16" s="22"/>
      <c r="B16" s="217"/>
      <c r="C16" s="157"/>
      <c r="D16" s="161"/>
      <c r="E16" s="161"/>
      <c r="F16" s="161"/>
      <c r="G16" s="161"/>
    </row>
    <row r="17" spans="1:14" ht="18" customHeight="1" x14ac:dyDescent="0.25">
      <c r="A17" s="176"/>
      <c r="B17" s="176"/>
      <c r="C17" s="177" t="s">
        <v>114</v>
      </c>
      <c r="D17" s="178">
        <f>(C12*C10)+(C13*C11)</f>
        <v>200</v>
      </c>
      <c r="E17" s="179" t="s">
        <v>209</v>
      </c>
      <c r="F17" s="176"/>
      <c r="G17" s="176"/>
      <c r="H17" s="176"/>
    </row>
    <row r="18" spans="1:14" ht="18" customHeight="1" x14ac:dyDescent="0.25">
      <c r="A18" s="176"/>
      <c r="B18" s="176"/>
      <c r="C18" s="177" t="s">
        <v>101</v>
      </c>
      <c r="D18" s="178">
        <f>(C12*C14)+(C13*C15)</f>
        <v>3368</v>
      </c>
      <c r="E18" s="179" t="s">
        <v>3</v>
      </c>
      <c r="F18" s="176"/>
      <c r="G18" s="176"/>
      <c r="H18" s="176"/>
    </row>
    <row r="19" spans="1:14" ht="18" customHeight="1" x14ac:dyDescent="0.3">
      <c r="A19" s="288"/>
      <c r="B19" s="288"/>
      <c r="C19" s="289" t="s">
        <v>97</v>
      </c>
      <c r="D19" s="290">
        <f>G10*G12</f>
        <v>50</v>
      </c>
      <c r="E19" s="291" t="s">
        <v>210</v>
      </c>
      <c r="F19" s="292"/>
      <c r="G19" s="288"/>
      <c r="H19" s="293"/>
    </row>
    <row r="20" spans="1:14" ht="18" customHeight="1" x14ac:dyDescent="0.3">
      <c r="A20" s="288"/>
      <c r="B20" s="288"/>
      <c r="C20" s="289" t="s">
        <v>102</v>
      </c>
      <c r="D20" s="290">
        <f>G12*G13</f>
        <v>500</v>
      </c>
      <c r="E20" s="291" t="s">
        <v>3</v>
      </c>
      <c r="F20" s="292"/>
      <c r="G20" s="288"/>
      <c r="H20" s="293"/>
    </row>
    <row r="21" spans="1:14" ht="18" customHeight="1" x14ac:dyDescent="0.25">
      <c r="A21" s="39"/>
      <c r="B21" s="39"/>
      <c r="C21" s="69" t="s">
        <v>94</v>
      </c>
      <c r="D21" s="70">
        <f>ROUND(+E5/25,0)</f>
        <v>8</v>
      </c>
      <c r="E21" s="294" t="s">
        <v>169</v>
      </c>
      <c r="F21" s="40"/>
      <c r="G21" s="39"/>
      <c r="H21" s="35"/>
    </row>
    <row r="22" spans="1:14" ht="12.75" customHeight="1" x14ac:dyDescent="0.25">
      <c r="A22" s="39"/>
      <c r="B22" s="498" t="s">
        <v>8</v>
      </c>
      <c r="C22" s="498"/>
      <c r="D22" s="498"/>
      <c r="E22" s="498"/>
      <c r="F22" s="498"/>
      <c r="G22" s="498"/>
      <c r="H22" s="35"/>
    </row>
    <row r="23" spans="1:14" ht="18" customHeight="1" x14ac:dyDescent="0.25">
      <c r="A23" s="176"/>
      <c r="B23" s="176"/>
      <c r="C23" s="177" t="s">
        <v>95</v>
      </c>
      <c r="D23" s="178">
        <f>SUM(D18+D20)</f>
        <v>3868</v>
      </c>
      <c r="E23" s="179" t="s">
        <v>3</v>
      </c>
      <c r="F23" s="176"/>
      <c r="G23" s="176"/>
      <c r="H23" s="176"/>
    </row>
    <row r="24" spans="1:14" ht="12.75" customHeight="1" x14ac:dyDescent="0.25"/>
    <row r="25" spans="1:14" ht="12.75" customHeight="1" x14ac:dyDescent="0.25">
      <c r="K25" s="11"/>
      <c r="L25" s="11"/>
      <c r="M25" s="11"/>
      <c r="N25" s="11"/>
    </row>
    <row r="26" spans="1:14" ht="12.75" customHeight="1" x14ac:dyDescent="0.25">
      <c r="K26" s="11"/>
      <c r="L26" s="11"/>
      <c r="M26" s="11"/>
      <c r="N26" s="11"/>
    </row>
    <row r="27" spans="1:14" ht="18" customHeight="1" x14ac:dyDescent="0.25">
      <c r="H27" s="223" t="s">
        <v>9</v>
      </c>
      <c r="K27" s="11"/>
      <c r="L27" s="11"/>
      <c r="M27" s="11"/>
      <c r="N27" s="11"/>
    </row>
    <row r="28" spans="1:14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14" s="11" customFormat="1" ht="12.75" customHeight="1" x14ac:dyDescent="0.25">
      <c r="A29" s="13"/>
      <c r="B29" s="13"/>
      <c r="C29" s="13"/>
      <c r="D29" s="13"/>
      <c r="F29" s="13"/>
      <c r="G29" s="13"/>
      <c r="H29" s="224" t="s">
        <v>55</v>
      </c>
    </row>
    <row r="30" spans="1:14" s="11" customFormat="1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54</v>
      </c>
    </row>
    <row r="31" spans="1:14" s="11" customFormat="1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14" s="11" customFormat="1" ht="12.75" customHeight="1" x14ac:dyDescent="0.25">
      <c r="A32" s="13"/>
      <c r="B32" s="13"/>
      <c r="C32" s="13"/>
      <c r="D32" s="13"/>
      <c r="E32" s="13"/>
      <c r="F32" s="13"/>
      <c r="G32" s="13"/>
      <c r="H32" s="199" t="s">
        <v>56</v>
      </c>
    </row>
    <row r="33" spans="1:8" s="11" customFormat="1" ht="12.75" customHeight="1" x14ac:dyDescent="0.25">
      <c r="A33" s="13"/>
      <c r="B33" s="13"/>
      <c r="C33" s="13"/>
      <c r="D33" s="13"/>
      <c r="E33" s="13"/>
      <c r="F33" s="13"/>
      <c r="H33" s="199" t="s">
        <v>10</v>
      </c>
    </row>
    <row r="34" spans="1:8" s="11" customFormat="1" ht="12.75" customHeight="1" x14ac:dyDescent="0.25">
      <c r="A34" s="13"/>
      <c r="B34" s="13"/>
      <c r="C34" s="13"/>
      <c r="D34" s="13"/>
      <c r="E34" s="13"/>
      <c r="F34" s="13"/>
      <c r="H34" s="225" t="s">
        <v>7</v>
      </c>
    </row>
    <row r="35" spans="1:8" s="11" customFormat="1" ht="12.75" customHeight="1" x14ac:dyDescent="0.25">
      <c r="A35" s="13"/>
      <c r="B35" s="13"/>
      <c r="C35" s="13"/>
      <c r="D35" s="13"/>
      <c r="E35" s="13"/>
      <c r="F35" s="13"/>
      <c r="H35" s="225"/>
    </row>
    <row r="36" spans="1:8" s="11" customFormat="1" ht="12.75" customHeight="1" x14ac:dyDescent="0.25">
      <c r="A36" s="13"/>
      <c r="B36" s="13"/>
      <c r="C36" s="13"/>
      <c r="D36" s="13"/>
      <c r="E36" s="13"/>
      <c r="F36" s="13"/>
      <c r="H36" s="225"/>
    </row>
    <row r="37" spans="1:8" s="11" customFormat="1" ht="12.75" customHeight="1" x14ac:dyDescent="0.25">
      <c r="A37" s="13"/>
      <c r="B37" s="13"/>
      <c r="C37" s="13"/>
      <c r="D37" s="13"/>
      <c r="E37" s="13"/>
      <c r="F37" s="13"/>
      <c r="H37" s="225"/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H38" s="225"/>
    </row>
    <row r="39" spans="1:8" s="11" customFormat="1" ht="12.75" customHeight="1" x14ac:dyDescent="0.25">
      <c r="A39" s="13"/>
      <c r="B39" s="13"/>
      <c r="C39" s="13"/>
      <c r="D39" s="13"/>
      <c r="E39" s="13"/>
      <c r="F39" s="13"/>
      <c r="H39" s="225"/>
    </row>
    <row r="40" spans="1:8" s="11" customFormat="1" ht="12.75" customHeight="1" x14ac:dyDescent="0.25">
      <c r="A40" s="13"/>
      <c r="B40" s="13"/>
      <c r="C40" s="13"/>
      <c r="D40" s="13"/>
      <c r="E40" s="13"/>
      <c r="F40" s="13"/>
      <c r="H40" s="225"/>
    </row>
    <row r="41" spans="1:8" ht="21" customHeight="1" x14ac:dyDescent="0.3">
      <c r="B41" s="15" t="s">
        <v>16</v>
      </c>
      <c r="C41" s="114"/>
      <c r="D41" s="114"/>
      <c r="E41" s="114"/>
      <c r="F41" s="114"/>
      <c r="G41" s="246"/>
      <c r="H41" s="246"/>
    </row>
    <row r="42" spans="1:8" ht="21" customHeight="1" x14ac:dyDescent="0.25">
      <c r="B42" s="13"/>
      <c r="C42" s="112"/>
      <c r="D42" s="112"/>
      <c r="E42" s="112"/>
      <c r="F42" s="112"/>
      <c r="G42" s="112"/>
      <c r="H42" s="112"/>
    </row>
    <row r="43" spans="1:8" ht="21" customHeight="1" x14ac:dyDescent="0.25">
      <c r="C43" s="114"/>
      <c r="D43" s="114"/>
      <c r="E43" s="114"/>
      <c r="F43" s="114"/>
      <c r="G43" s="114"/>
      <c r="H43" s="114"/>
    </row>
  </sheetData>
  <sheetProtection selectLockedCells="1"/>
  <mergeCells count="8">
    <mergeCell ref="E13:F13"/>
    <mergeCell ref="B22:G22"/>
    <mergeCell ref="A1:H1"/>
    <mergeCell ref="E8:F8"/>
    <mergeCell ref="E9:F9"/>
    <mergeCell ref="E10:F11"/>
    <mergeCell ref="G10:G11"/>
    <mergeCell ref="E12:F12"/>
  </mergeCells>
  <dataValidations count="2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29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2900-000001000000}">
      <formula1>0</formula1>
      <formula2>100</formula2>
    </dataValidation>
  </dataValidations>
  <hyperlinks>
    <hyperlink ref="H32" r:id="rId1" xr:uid="{00000000-0004-0000-2900-000000000000}"/>
    <hyperlink ref="H30" r:id="rId2" xr:uid="{00000000-0004-0000-2900-000001000000}"/>
    <hyperlink ref="H33" r:id="rId3" xr:uid="{00000000-0004-0000-29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tabColor theme="8"/>
  </sheetPr>
  <dimension ref="A1:J48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6" t="s">
        <v>167</v>
      </c>
      <c r="B1" s="496"/>
      <c r="C1" s="496"/>
      <c r="D1" s="496"/>
      <c r="E1" s="496"/>
      <c r="F1" s="496"/>
      <c r="G1" s="496"/>
      <c r="H1" s="496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1"/>
      <c r="B3" s="125"/>
      <c r="C3" s="126"/>
      <c r="D3" s="94" t="s">
        <v>86</v>
      </c>
      <c r="E3" s="96">
        <v>200</v>
      </c>
      <c r="F3" s="158"/>
      <c r="G3" s="2"/>
      <c r="H3" s="3"/>
    </row>
    <row r="4" spans="1:8" ht="18" customHeight="1" x14ac:dyDescent="0.3">
      <c r="A4" s="1"/>
      <c r="B4" s="170"/>
      <c r="C4" s="171"/>
      <c r="D4" s="172" t="s">
        <v>36</v>
      </c>
      <c r="E4" s="173">
        <v>40</v>
      </c>
      <c r="F4" s="163"/>
    </row>
    <row r="5" spans="1:8" ht="18" customHeight="1" x14ac:dyDescent="0.3">
      <c r="A5" s="1"/>
      <c r="B5" s="125"/>
      <c r="C5" s="126"/>
      <c r="D5" s="95" t="s">
        <v>13</v>
      </c>
      <c r="E5" s="97">
        <v>0</v>
      </c>
      <c r="F5" s="159"/>
      <c r="G5" s="504" t="s">
        <v>106</v>
      </c>
      <c r="H5" s="504"/>
    </row>
    <row r="6" spans="1:8" ht="18" customHeight="1" x14ac:dyDescent="0.3">
      <c r="A6" s="1"/>
      <c r="B6" s="125"/>
      <c r="C6" s="126"/>
      <c r="D6" s="95" t="s">
        <v>85</v>
      </c>
      <c r="E6" s="344">
        <f>E3+E3*E5/100</f>
        <v>200</v>
      </c>
      <c r="F6" s="16"/>
      <c r="G6" s="504"/>
      <c r="H6" s="504"/>
    </row>
    <row r="7" spans="1:8" ht="12.75" customHeight="1" x14ac:dyDescent="0.25">
      <c r="A7" s="22"/>
      <c r="B7" s="12"/>
      <c r="C7" s="22"/>
      <c r="D7" s="22"/>
      <c r="E7" s="22"/>
      <c r="F7" s="22"/>
      <c r="G7" s="504"/>
      <c r="H7" s="504"/>
    </row>
    <row r="8" spans="1:8" ht="18" customHeight="1" thickBot="1" x14ac:dyDescent="0.35">
      <c r="A8" s="22"/>
      <c r="B8" s="269" t="s">
        <v>0</v>
      </c>
      <c r="C8" s="101" t="s">
        <v>37</v>
      </c>
      <c r="D8" s="102" t="s">
        <v>38</v>
      </c>
      <c r="E8" s="102" t="s">
        <v>39</v>
      </c>
      <c r="F8" s="253"/>
      <c r="G8" s="504"/>
      <c r="H8" s="504"/>
    </row>
    <row r="9" spans="1:8" ht="18" customHeight="1" thickTop="1" x14ac:dyDescent="0.3">
      <c r="A9" s="22"/>
      <c r="B9" s="304" t="s">
        <v>11</v>
      </c>
      <c r="C9" s="127">
        <v>0.4</v>
      </c>
      <c r="D9" s="128">
        <v>0.4</v>
      </c>
      <c r="E9" s="128">
        <v>0.2</v>
      </c>
      <c r="F9" s="10">
        <f>SUM(C9,D9,E9)</f>
        <v>1</v>
      </c>
      <c r="G9" s="501" t="s">
        <v>89</v>
      </c>
      <c r="H9" s="501"/>
    </row>
    <row r="10" spans="1:8" ht="18" hidden="1" customHeight="1" x14ac:dyDescent="0.25">
      <c r="A10" s="22"/>
      <c r="B10" s="51" t="s">
        <v>66</v>
      </c>
      <c r="C10" s="104">
        <v>0.43</v>
      </c>
      <c r="D10" s="105">
        <v>0.64</v>
      </c>
      <c r="E10" s="105">
        <v>0.84</v>
      </c>
      <c r="F10" s="161"/>
      <c r="G10" s="501"/>
      <c r="H10" s="501"/>
    </row>
    <row r="11" spans="1:8" ht="12.75" customHeight="1" x14ac:dyDescent="0.25">
      <c r="A11" s="22"/>
      <c r="B11" s="50" t="s">
        <v>1</v>
      </c>
      <c r="C11" s="106">
        <f>+(E6*C9)/C10</f>
        <v>186.04651162790697</v>
      </c>
      <c r="D11" s="107">
        <f>+(E6*D9)/D10</f>
        <v>125</v>
      </c>
      <c r="E11" s="107">
        <f>+(E6*E9)/E10</f>
        <v>47.61904761904762</v>
      </c>
      <c r="F11" s="255"/>
      <c r="G11" s="501"/>
      <c r="H11" s="501"/>
    </row>
    <row r="12" spans="1:8" ht="12.75" customHeight="1" x14ac:dyDescent="0.25">
      <c r="A12" s="22"/>
      <c r="B12" s="145" t="s">
        <v>67</v>
      </c>
      <c r="C12" s="104">
        <v>180</v>
      </c>
      <c r="D12" s="105">
        <v>96</v>
      </c>
      <c r="E12" s="105">
        <v>84</v>
      </c>
      <c r="F12" s="161"/>
      <c r="G12" s="501"/>
      <c r="H12" s="501"/>
    </row>
    <row r="13" spans="1:8" ht="12.75" customHeight="1" thickBot="1" x14ac:dyDescent="0.3">
      <c r="A13" s="22"/>
      <c r="B13" s="51" t="s">
        <v>83</v>
      </c>
      <c r="C13" s="129">
        <v>12</v>
      </c>
      <c r="D13" s="130">
        <v>12</v>
      </c>
      <c r="E13" s="130">
        <v>12</v>
      </c>
      <c r="F13" s="161"/>
      <c r="G13" s="501"/>
      <c r="H13" s="501"/>
    </row>
    <row r="14" spans="1:8" ht="18.75" hidden="1" customHeight="1" x14ac:dyDescent="0.25">
      <c r="A14" s="22"/>
      <c r="B14" s="50" t="s">
        <v>63</v>
      </c>
      <c r="C14" s="104">
        <v>12</v>
      </c>
      <c r="D14" s="105">
        <v>12</v>
      </c>
      <c r="E14" s="105">
        <v>12</v>
      </c>
      <c r="F14" s="161"/>
      <c r="G14" s="501"/>
      <c r="H14" s="501"/>
    </row>
    <row r="15" spans="1:8" ht="18.75" hidden="1" customHeight="1" thickBot="1" x14ac:dyDescent="0.3">
      <c r="A15" s="22"/>
      <c r="B15" s="92" t="s">
        <v>64</v>
      </c>
      <c r="C15" s="90">
        <v>12</v>
      </c>
      <c r="D15" s="91">
        <v>12</v>
      </c>
      <c r="E15" s="91">
        <v>12</v>
      </c>
      <c r="F15" s="161"/>
      <c r="G15" s="155"/>
      <c r="H15" s="155"/>
    </row>
    <row r="16" spans="1:8" ht="18" customHeight="1" thickBot="1" x14ac:dyDescent="0.35">
      <c r="A16" s="22"/>
      <c r="B16" s="139" t="s">
        <v>68</v>
      </c>
      <c r="C16" s="119">
        <f>IF(MOD(C11+C14,C12)&lt;=C14,1+ROUNDDOWN(C11/C12,0),ROUNDDOWN(C11/C12,0))</f>
        <v>1</v>
      </c>
      <c r="D16" s="119">
        <f>IF(MOD(D11+D14,D12)&lt;=D14,1+ROUNDDOWN(D11/D12,0),ROUNDDOWN(D11/D12,0))</f>
        <v>1</v>
      </c>
      <c r="E16" s="131">
        <f>IF(MOD(E11+E14,E12)&lt;=E14,1+ROUNDDOWN(E11/E12,0),ROUNDDOWN(E11/E12,0))</f>
        <v>0</v>
      </c>
      <c r="F16" s="256"/>
      <c r="G16" s="155"/>
      <c r="H16" s="155"/>
    </row>
    <row r="17" spans="1:10" ht="18" customHeight="1" thickBot="1" x14ac:dyDescent="0.35">
      <c r="A17" s="22"/>
      <c r="B17" s="121" t="s">
        <v>84</v>
      </c>
      <c r="C17" s="119">
        <f>IF(ROUNDUP((C11-(C12*C16))/C13,0)&lt;0,0,ROUNDUP((C11-(C12*C16))/C13,0))</f>
        <v>1</v>
      </c>
      <c r="D17" s="119">
        <f>IF(ROUNDUP((D11-(D12*D16))/D13,0)&lt;0,0,ROUNDUP((D11-(D12*D16))/D13,0))</f>
        <v>3</v>
      </c>
      <c r="E17" s="131">
        <f>IF(ROUNDUP((E11-(E12*E16))/E13,0)&lt;0,0,ROUNDUP((E11-(E12*E16))/E13,0))</f>
        <v>4</v>
      </c>
      <c r="F17" s="256"/>
    </row>
    <row r="18" spans="1:10" ht="18" customHeight="1" x14ac:dyDescent="0.3">
      <c r="A18" s="22"/>
      <c r="B18" s="122" t="s">
        <v>65</v>
      </c>
      <c r="C18" s="123">
        <f>(C16*C12)+(ROUNDUP(C17/2,0)*C14)+(ROUNDDOWN(C17/2,0)*C15)</f>
        <v>192</v>
      </c>
      <c r="D18" s="123">
        <f>(D16*D12)+(ROUNDUP(D17/2,0)*D14)+(ROUNDDOWN(D17/2,0)*D15)</f>
        <v>132</v>
      </c>
      <c r="E18" s="132">
        <f>(E16*E12)+(ROUNDUP(E17/2,0)*E14)+(ROUNDDOWN(E17/2,0)*E15)</f>
        <v>48</v>
      </c>
      <c r="F18" s="256"/>
      <c r="G18" s="155"/>
      <c r="H18" s="155"/>
    </row>
    <row r="19" spans="1:10" ht="12.75" customHeight="1" x14ac:dyDescent="0.25">
      <c r="A19" s="5"/>
      <c r="B19" s="144" t="s">
        <v>70</v>
      </c>
      <c r="C19" s="25">
        <f>C12*C20</f>
        <v>2970</v>
      </c>
      <c r="D19" s="25">
        <f>D12*D20</f>
        <v>2409.6000000000004</v>
      </c>
      <c r="E19" s="25">
        <f>E12*E20</f>
        <v>2898</v>
      </c>
      <c r="F19" s="25"/>
      <c r="G19" s="155"/>
      <c r="H19" s="155"/>
    </row>
    <row r="20" spans="1:10" ht="12.75" customHeight="1" x14ac:dyDescent="0.25">
      <c r="A20" s="22"/>
      <c r="B20" s="266" t="s">
        <v>69</v>
      </c>
      <c r="C20" s="29">
        <v>16.5</v>
      </c>
      <c r="D20" s="29">
        <v>25.1</v>
      </c>
      <c r="E20" s="29">
        <v>34.5</v>
      </c>
      <c r="F20" s="257"/>
      <c r="G20" s="155"/>
      <c r="H20" s="155"/>
    </row>
    <row r="21" spans="1:10" ht="12.75" hidden="1" customHeight="1" x14ac:dyDescent="0.25">
      <c r="A21" s="22"/>
      <c r="B21" s="24" t="s">
        <v>71</v>
      </c>
      <c r="C21" s="25">
        <f>+C18*C10</f>
        <v>82.56</v>
      </c>
      <c r="D21" s="25">
        <f>+D18*D10</f>
        <v>84.48</v>
      </c>
      <c r="E21" s="25">
        <f>+E18*E10</f>
        <v>40.32</v>
      </c>
      <c r="F21" s="161"/>
      <c r="G21" s="155"/>
      <c r="H21" s="155"/>
    </row>
    <row r="22" spans="1:10" ht="12.75" customHeight="1" x14ac:dyDescent="0.25">
      <c r="A22" s="305"/>
      <c r="B22" s="306">
        <f>ROUND(+E4/100*(C16*15+C17), 0)</f>
        <v>6</v>
      </c>
      <c r="C22" s="307" t="s">
        <v>73</v>
      </c>
      <c r="D22" s="308"/>
      <c r="E22" s="309"/>
      <c r="G22" s="155"/>
      <c r="H22" s="155"/>
      <c r="J22" s="22"/>
    </row>
    <row r="23" spans="1:10" ht="12.75" customHeight="1" x14ac:dyDescent="0.25">
      <c r="A23" s="22"/>
      <c r="B23" s="310">
        <f>+(C16*15)+C17-B22</f>
        <v>10</v>
      </c>
      <c r="C23" s="311" t="s">
        <v>72</v>
      </c>
      <c r="D23" s="312"/>
      <c r="E23" s="313"/>
      <c r="G23" s="155"/>
      <c r="H23" s="155"/>
    </row>
    <row r="24" spans="1:10" ht="12.75" customHeight="1" x14ac:dyDescent="0.25">
      <c r="B24" s="87" t="s">
        <v>91</v>
      </c>
      <c r="C24" s="203"/>
      <c r="D24" s="203"/>
    </row>
    <row r="25" spans="1:10" ht="12.75" customHeight="1" x14ac:dyDescent="0.25">
      <c r="B25" s="86" t="s">
        <v>88</v>
      </c>
      <c r="C25" s="203"/>
      <c r="D25" s="203"/>
    </row>
    <row r="26" spans="1:10" ht="12.75" customHeight="1" x14ac:dyDescent="0.25">
      <c r="A26" s="22"/>
      <c r="B26" s="87" t="s">
        <v>49</v>
      </c>
      <c r="C26" s="240"/>
      <c r="D26" s="240"/>
      <c r="E26" s="22"/>
      <c r="F26" s="22"/>
      <c r="G26" s="22"/>
    </row>
    <row r="27" spans="1:10" ht="18" customHeight="1" x14ac:dyDescent="0.25">
      <c r="A27" s="34"/>
      <c r="B27" s="34"/>
      <c r="C27" s="68" t="s">
        <v>92</v>
      </c>
      <c r="D27" s="164">
        <f>SUM(C21:E21)</f>
        <v>207.36</v>
      </c>
      <c r="E27" s="72" t="s">
        <v>40</v>
      </c>
      <c r="F27" s="34"/>
      <c r="G27" s="34"/>
      <c r="H27" s="34"/>
    </row>
    <row r="28" spans="1:10" ht="15.75" customHeight="1" x14ac:dyDescent="0.25">
      <c r="A28" s="39"/>
      <c r="B28" s="39"/>
      <c r="C28" s="69" t="s">
        <v>94</v>
      </c>
      <c r="D28" s="70">
        <f>ROUND(+D27/30,0)</f>
        <v>7</v>
      </c>
      <c r="E28" s="73" t="s">
        <v>4</v>
      </c>
      <c r="F28" s="40"/>
      <c r="G28" s="39"/>
      <c r="H28" s="35"/>
    </row>
    <row r="29" spans="1:10" ht="12.75" customHeight="1" x14ac:dyDescent="0.25">
      <c r="A29" s="39"/>
      <c r="B29" s="498" t="s">
        <v>8</v>
      </c>
      <c r="C29" s="498"/>
      <c r="D29" s="498"/>
      <c r="E29" s="498"/>
      <c r="F29" s="498"/>
      <c r="G29" s="498"/>
      <c r="H29" s="35"/>
    </row>
    <row r="30" spans="1:10" ht="18" customHeight="1" x14ac:dyDescent="0.25">
      <c r="A30" s="34"/>
      <c r="B30" s="34"/>
      <c r="C30" s="68" t="s">
        <v>95</v>
      </c>
      <c r="D30" s="164">
        <f>SUM(C18*C20+D18*D20+E18*E20)</f>
        <v>8137.2000000000007</v>
      </c>
      <c r="E30" s="72" t="s">
        <v>3</v>
      </c>
      <c r="F30" s="34"/>
      <c r="G30" s="34"/>
      <c r="H30" s="34"/>
    </row>
    <row r="31" spans="1:10" s="11" customFormat="1" ht="12.75" customHeight="1" x14ac:dyDescent="0.25">
      <c r="A31" s="13"/>
      <c r="B31" s="13"/>
      <c r="C31" s="13"/>
      <c r="D31" s="13"/>
      <c r="E31" s="13"/>
      <c r="F31" s="13"/>
      <c r="G31" s="13"/>
    </row>
    <row r="32" spans="1:10" s="11" customFormat="1" ht="12.75" customHeight="1" x14ac:dyDescent="0.25">
      <c r="A32" s="13"/>
      <c r="B32" s="13"/>
      <c r="C32" s="13"/>
      <c r="D32" s="13"/>
      <c r="E32" s="13"/>
      <c r="F32" s="13"/>
      <c r="G32" s="13"/>
    </row>
    <row r="33" spans="1:8" s="11" customFormat="1" ht="12.75" customHeight="1" x14ac:dyDescent="0.25">
      <c r="A33" s="13"/>
      <c r="B33" s="13"/>
      <c r="C33" s="13"/>
      <c r="D33" s="13"/>
      <c r="E33" s="13"/>
      <c r="F33" s="13"/>
      <c r="G33" s="13"/>
    </row>
    <row r="34" spans="1:8" s="11" customFormat="1" ht="18" customHeight="1" x14ac:dyDescent="0.25">
      <c r="A34" s="13"/>
      <c r="B34" s="13"/>
      <c r="C34" s="13"/>
      <c r="D34" s="13"/>
      <c r="G34" s="13"/>
      <c r="H34" s="223" t="s">
        <v>9</v>
      </c>
    </row>
    <row r="35" spans="1:8" s="11" customFormat="1" x14ac:dyDescent="0.25">
      <c r="A35" s="13"/>
      <c r="B35" s="13"/>
      <c r="C35" s="13"/>
      <c r="D35" s="13"/>
      <c r="E35" s="13"/>
      <c r="F35" s="13"/>
      <c r="G35" s="13"/>
      <c r="H35" s="19"/>
    </row>
    <row r="36" spans="1:8" s="11" customFormat="1" x14ac:dyDescent="0.25">
      <c r="A36" s="13"/>
      <c r="B36" s="13"/>
      <c r="C36" s="13"/>
      <c r="D36" s="13"/>
      <c r="E36" s="13"/>
      <c r="F36" s="13"/>
      <c r="H36" s="224" t="s">
        <v>55</v>
      </c>
    </row>
    <row r="37" spans="1:8" s="11" customFormat="1" x14ac:dyDescent="0.25">
      <c r="A37" s="13"/>
      <c r="B37" s="13"/>
      <c r="C37" s="13"/>
      <c r="D37" s="13"/>
      <c r="E37" s="13"/>
      <c r="F37" s="13"/>
      <c r="H37" s="199" t="s">
        <v>54</v>
      </c>
    </row>
    <row r="38" spans="1:8" s="11" customFormat="1" x14ac:dyDescent="0.25">
      <c r="A38" s="13"/>
      <c r="B38" s="13"/>
      <c r="C38" s="13"/>
      <c r="D38" s="13"/>
      <c r="E38" s="13"/>
      <c r="F38" s="13"/>
      <c r="H38" s="268"/>
    </row>
    <row r="39" spans="1:8" s="11" customFormat="1" x14ac:dyDescent="0.25">
      <c r="A39" s="13"/>
      <c r="B39" s="13"/>
      <c r="C39" s="13"/>
      <c r="D39" s="13"/>
      <c r="E39" s="13"/>
      <c r="F39" s="13"/>
      <c r="H39" s="199" t="s">
        <v>6</v>
      </c>
    </row>
    <row r="40" spans="1:8" s="11" customFormat="1" x14ac:dyDescent="0.25">
      <c r="A40" s="13"/>
      <c r="B40" s="13"/>
      <c r="C40" s="13"/>
      <c r="D40" s="13"/>
      <c r="E40" s="13"/>
      <c r="F40" s="13"/>
      <c r="H40" s="199" t="s">
        <v>58</v>
      </c>
    </row>
    <row r="41" spans="1:8" s="11" customFormat="1" x14ac:dyDescent="0.25">
      <c r="A41" s="13"/>
      <c r="B41" s="13"/>
      <c r="C41" s="13"/>
      <c r="D41" s="13"/>
      <c r="E41" s="13"/>
      <c r="F41" s="13"/>
      <c r="G41" s="19"/>
      <c r="H41" s="199" t="s">
        <v>10</v>
      </c>
    </row>
    <row r="42" spans="1:8" s="11" customFormat="1" x14ac:dyDescent="0.25">
      <c r="A42" s="13"/>
      <c r="B42" s="13"/>
      <c r="C42" s="13"/>
      <c r="D42" s="13"/>
      <c r="E42" s="13"/>
      <c r="F42" s="13"/>
      <c r="G42" s="19"/>
      <c r="H42" s="270" t="s">
        <v>7</v>
      </c>
    </row>
    <row r="43" spans="1:8" s="11" customFormat="1" x14ac:dyDescent="0.25">
      <c r="A43" s="13"/>
      <c r="B43" s="13"/>
      <c r="C43" s="13"/>
      <c r="D43" s="13"/>
      <c r="E43" s="13"/>
      <c r="F43" s="13"/>
      <c r="G43" s="19"/>
      <c r="H43" s="270"/>
    </row>
    <row r="44" spans="1:8" s="11" customFormat="1" x14ac:dyDescent="0.25">
      <c r="A44" s="13"/>
      <c r="B44" s="13"/>
      <c r="C44" s="13"/>
      <c r="D44" s="13"/>
      <c r="E44" s="13"/>
      <c r="F44" s="13"/>
      <c r="G44" s="19"/>
      <c r="H44" s="270"/>
    </row>
    <row r="45" spans="1:8" s="11" customFormat="1" x14ac:dyDescent="0.25">
      <c r="A45" s="13"/>
      <c r="B45" s="13"/>
      <c r="C45" s="13"/>
      <c r="D45" s="13"/>
      <c r="E45" s="13"/>
      <c r="F45" s="13"/>
      <c r="G45" s="19"/>
      <c r="H45" s="270"/>
    </row>
    <row r="46" spans="1: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" ht="21" customHeight="1" x14ac:dyDescent="0.25">
      <c r="A48" s="22"/>
      <c r="C48" s="112"/>
      <c r="D48" s="112"/>
      <c r="E48" s="112"/>
      <c r="F48" s="112"/>
      <c r="G48" s="112"/>
      <c r="H48" s="112"/>
    </row>
  </sheetData>
  <sheetProtection algorithmName="SHA-512" hashValue="t1MDuiGobSja3hCMek3PnXjo5Ooh5yDF31yKb9huy/bVMe+54hmNxkevlmWOGmKj/TS08cUzCXfAtbYWEbwatQ==" saltValue="GKrqSI62R/81aB0rPbXgFA==" spinCount="100000" sheet="1" selectLockedCells="1"/>
  <mergeCells count="4">
    <mergeCell ref="A1:H1"/>
    <mergeCell ref="B29:G29"/>
    <mergeCell ref="G5:H8"/>
    <mergeCell ref="G9:H14"/>
  </mergeCells>
  <phoneticPr fontId="0" type="noConversion"/>
  <dataValidations xWindow="871" yWindow="259" count="3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0500-000000000000}">
      <formula1>0</formula1>
      <formula2>100</formula2>
    </dataValidation>
    <dataValidation allowBlank="1" promptTitle="Typical Waste Allowance" prompt="Typical allowance  is 2-5%. Projects with a higher than average number of openings and corners may require a higher allowance. " sqref="E4" xr:uid="{00000000-0002-0000-0500-000001000000}"/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0500-000002000000}">
      <formula1>0</formula1>
      <formula2>100</formula2>
    </dataValidation>
  </dataValidations>
  <hyperlinks>
    <hyperlink ref="H41" r:id="rId1" xr:uid="{00000000-0004-0000-0500-000000000000}"/>
    <hyperlink ref="H40" r:id="rId2" xr:uid="{00000000-0004-0000-0500-000001000000}"/>
    <hyperlink ref="H39" r:id="rId3" xr:uid="{00000000-0004-0000-0500-000002000000}"/>
    <hyperlink ref="H37" r:id="rId4" xr:uid="{00000000-0004-0000-05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theme="9"/>
  </sheetPr>
  <dimension ref="A1:N43"/>
  <sheetViews>
    <sheetView showGridLines="0" showRowColHeaders="0" topLeftCell="A4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208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6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300" t="s">
        <v>99</v>
      </c>
      <c r="C8" s="301"/>
      <c r="D8" s="161"/>
      <c r="E8" s="506" t="s">
        <v>98</v>
      </c>
      <c r="F8" s="507"/>
      <c r="G8" s="174" t="s">
        <v>109</v>
      </c>
      <c r="H8" s="1"/>
    </row>
    <row r="9" spans="1:8" ht="12.75" customHeight="1" thickTop="1" x14ac:dyDescent="0.3">
      <c r="A9" s="22"/>
      <c r="B9" s="275" t="s">
        <v>100</v>
      </c>
      <c r="C9" s="276">
        <f>E5</f>
        <v>200</v>
      </c>
      <c r="D9" s="161"/>
      <c r="E9" s="508" t="s">
        <v>168</v>
      </c>
      <c r="F9" s="509"/>
      <c r="G9" s="175">
        <f>E6</f>
        <v>50</v>
      </c>
      <c r="H9" s="1"/>
    </row>
    <row r="10" spans="1:8" ht="12.75" customHeight="1" x14ac:dyDescent="0.25">
      <c r="A10" s="22"/>
      <c r="B10" s="279" t="s">
        <v>111</v>
      </c>
      <c r="C10" s="296">
        <v>100</v>
      </c>
      <c r="D10" s="161"/>
      <c r="E10" s="510" t="s">
        <v>108</v>
      </c>
      <c r="F10" s="511"/>
      <c r="G10" s="514">
        <v>5</v>
      </c>
      <c r="H10" s="162"/>
    </row>
    <row r="11" spans="1:8" ht="12.75" customHeight="1" thickBot="1" x14ac:dyDescent="0.3">
      <c r="A11" s="22"/>
      <c r="B11" s="302" t="s">
        <v>110</v>
      </c>
      <c r="C11" s="303">
        <v>5</v>
      </c>
      <c r="D11" s="161"/>
      <c r="E11" s="512"/>
      <c r="F11" s="513"/>
      <c r="G11" s="515"/>
      <c r="H11" s="162"/>
    </row>
    <row r="12" spans="1:8" ht="18" customHeight="1" thickTop="1" thickBot="1" x14ac:dyDescent="0.3">
      <c r="A12" s="22"/>
      <c r="B12" s="283" t="s">
        <v>68</v>
      </c>
      <c r="C12" s="284">
        <f>IF(MOD(C9,C10)&lt;=65,ROUNDDOWN(+E5/C10,0),ROUNDUP(+E5/C10,0))</f>
        <v>2</v>
      </c>
      <c r="D12" s="161"/>
      <c r="E12" s="516" t="s">
        <v>107</v>
      </c>
      <c r="F12" s="517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112</v>
      </c>
      <c r="C13" s="284">
        <f>IF(ROUNDUP((C9-(C10*C12)),0)&lt;0,0,ROUNDUP((C9-(C10*C12))/C11,0))</f>
        <v>0</v>
      </c>
      <c r="D13" s="161"/>
      <c r="E13" s="518" t="s">
        <v>75</v>
      </c>
      <c r="F13" s="518"/>
      <c r="G13" s="286">
        <v>50</v>
      </c>
    </row>
    <row r="14" spans="1:8" ht="12.75" customHeight="1" x14ac:dyDescent="0.25">
      <c r="A14" s="22"/>
      <c r="B14" s="287" t="s">
        <v>70</v>
      </c>
      <c r="C14" s="78">
        <v>1684</v>
      </c>
      <c r="D14" s="161"/>
      <c r="E14" s="161"/>
      <c r="F14" s="161"/>
      <c r="G14" s="161"/>
    </row>
    <row r="15" spans="1:8" ht="12.75" customHeight="1" x14ac:dyDescent="0.25">
      <c r="A15" s="22"/>
      <c r="B15" s="217" t="s">
        <v>113</v>
      </c>
      <c r="C15" s="157">
        <v>68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14" ht="18" customHeight="1" x14ac:dyDescent="0.25">
      <c r="A17" s="176"/>
      <c r="B17" s="176"/>
      <c r="C17" s="177" t="s">
        <v>114</v>
      </c>
      <c r="D17" s="178">
        <f>(C12*C10)+(C13*C11)</f>
        <v>200</v>
      </c>
      <c r="E17" s="179" t="s">
        <v>209</v>
      </c>
      <c r="F17" s="176"/>
      <c r="G17" s="176"/>
      <c r="H17" s="176"/>
    </row>
    <row r="18" spans="1:14" ht="18" customHeight="1" x14ac:dyDescent="0.25">
      <c r="A18" s="176"/>
      <c r="B18" s="176"/>
      <c r="C18" s="177" t="s">
        <v>101</v>
      </c>
      <c r="D18" s="178">
        <f>(C12*C14)+(C13*C15)</f>
        <v>3368</v>
      </c>
      <c r="E18" s="179" t="s">
        <v>3</v>
      </c>
      <c r="F18" s="176"/>
      <c r="G18" s="176"/>
      <c r="H18" s="176"/>
    </row>
    <row r="19" spans="1:14" ht="18" customHeight="1" x14ac:dyDescent="0.3">
      <c r="A19" s="288"/>
      <c r="B19" s="288"/>
      <c r="C19" s="289" t="s">
        <v>97</v>
      </c>
      <c r="D19" s="290">
        <f>G10*G12</f>
        <v>50</v>
      </c>
      <c r="E19" s="291" t="s">
        <v>210</v>
      </c>
      <c r="F19" s="292"/>
      <c r="G19" s="288"/>
      <c r="H19" s="293"/>
    </row>
    <row r="20" spans="1:14" ht="18" customHeight="1" x14ac:dyDescent="0.3">
      <c r="A20" s="288"/>
      <c r="B20" s="288"/>
      <c r="C20" s="289" t="s">
        <v>102</v>
      </c>
      <c r="D20" s="290">
        <f>G12*G13</f>
        <v>500</v>
      </c>
      <c r="E20" s="291" t="s">
        <v>3</v>
      </c>
      <c r="F20" s="292"/>
      <c r="G20" s="288"/>
      <c r="H20" s="293"/>
    </row>
    <row r="21" spans="1:14" ht="18" customHeight="1" x14ac:dyDescent="0.25">
      <c r="A21" s="39"/>
      <c r="B21" s="39"/>
      <c r="C21" s="69" t="s">
        <v>94</v>
      </c>
      <c r="D21" s="70">
        <f>ROUND(+E5/25,0)</f>
        <v>8</v>
      </c>
      <c r="E21" s="294" t="s">
        <v>169</v>
      </c>
      <c r="F21" s="40"/>
      <c r="G21" s="39"/>
      <c r="H21" s="35"/>
    </row>
    <row r="22" spans="1:14" ht="12.75" customHeight="1" x14ac:dyDescent="0.25">
      <c r="A22" s="39"/>
      <c r="B22" s="498" t="s">
        <v>8</v>
      </c>
      <c r="C22" s="498"/>
      <c r="D22" s="498"/>
      <c r="E22" s="498"/>
      <c r="F22" s="498"/>
      <c r="G22" s="498"/>
      <c r="H22" s="35"/>
    </row>
    <row r="23" spans="1:14" ht="18" customHeight="1" x14ac:dyDescent="0.25">
      <c r="A23" s="176"/>
      <c r="B23" s="176"/>
      <c r="C23" s="177" t="s">
        <v>95</v>
      </c>
      <c r="D23" s="178">
        <f>SUM(D18+D20)</f>
        <v>3868</v>
      </c>
      <c r="E23" s="179" t="s">
        <v>3</v>
      </c>
      <c r="F23" s="176"/>
      <c r="G23" s="176"/>
      <c r="H23" s="176"/>
    </row>
    <row r="24" spans="1:14" ht="12.75" customHeight="1" x14ac:dyDescent="0.25"/>
    <row r="25" spans="1:14" ht="12.75" customHeight="1" x14ac:dyDescent="0.25">
      <c r="K25" s="11"/>
      <c r="L25" s="11"/>
      <c r="M25" s="11"/>
      <c r="N25" s="11"/>
    </row>
    <row r="26" spans="1:14" ht="12.75" customHeight="1" x14ac:dyDescent="0.25">
      <c r="K26" s="11"/>
      <c r="L26" s="11"/>
      <c r="M26" s="11"/>
      <c r="N26" s="11"/>
    </row>
    <row r="27" spans="1:14" ht="18" customHeight="1" x14ac:dyDescent="0.25">
      <c r="H27" s="223" t="s">
        <v>9</v>
      </c>
      <c r="K27" s="11"/>
      <c r="L27" s="11"/>
      <c r="M27" s="11"/>
      <c r="N27" s="11"/>
    </row>
    <row r="28" spans="1:14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14" s="11" customFormat="1" ht="12.75" customHeight="1" x14ac:dyDescent="0.25">
      <c r="A29" s="13"/>
      <c r="B29" s="13"/>
      <c r="C29" s="13"/>
      <c r="D29" s="13"/>
      <c r="F29" s="13"/>
      <c r="G29" s="13"/>
      <c r="H29" s="224" t="s">
        <v>55</v>
      </c>
    </row>
    <row r="30" spans="1:14" s="11" customFormat="1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54</v>
      </c>
    </row>
    <row r="31" spans="1:14" s="11" customFormat="1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14" s="11" customFormat="1" ht="12.75" customHeight="1" x14ac:dyDescent="0.25">
      <c r="A32" s="13"/>
      <c r="B32" s="13"/>
      <c r="C32" s="13"/>
      <c r="D32" s="13"/>
      <c r="E32" s="13"/>
      <c r="F32" s="13"/>
      <c r="G32" s="13"/>
      <c r="H32" s="199" t="s">
        <v>56</v>
      </c>
    </row>
    <row r="33" spans="1:8" s="11" customFormat="1" ht="12.75" customHeight="1" x14ac:dyDescent="0.25">
      <c r="A33" s="13"/>
      <c r="B33" s="13"/>
      <c r="C33" s="13"/>
      <c r="D33" s="13"/>
      <c r="E33" s="13"/>
      <c r="F33" s="13"/>
      <c r="H33" s="199" t="s">
        <v>10</v>
      </c>
    </row>
    <row r="34" spans="1:8" s="11" customFormat="1" ht="12.75" customHeight="1" x14ac:dyDescent="0.25">
      <c r="A34" s="13"/>
      <c r="B34" s="13"/>
      <c r="C34" s="13"/>
      <c r="D34" s="13"/>
      <c r="E34" s="13"/>
      <c r="F34" s="13"/>
      <c r="H34" s="225" t="s">
        <v>7</v>
      </c>
    </row>
    <row r="35" spans="1:8" s="11" customFormat="1" ht="12.75" customHeight="1" x14ac:dyDescent="0.25">
      <c r="A35" s="13"/>
      <c r="B35" s="13"/>
      <c r="C35" s="13"/>
      <c r="D35" s="13"/>
      <c r="E35" s="13"/>
      <c r="F35" s="13"/>
      <c r="H35" s="225"/>
    </row>
    <row r="36" spans="1:8" s="11" customFormat="1" ht="12.75" customHeight="1" x14ac:dyDescent="0.25">
      <c r="A36" s="13"/>
      <c r="B36" s="13"/>
      <c r="C36" s="13"/>
      <c r="D36" s="13"/>
      <c r="E36" s="13"/>
      <c r="F36" s="13"/>
      <c r="H36" s="225"/>
    </row>
    <row r="37" spans="1:8" s="11" customFormat="1" ht="12.75" customHeight="1" x14ac:dyDescent="0.25">
      <c r="A37" s="13"/>
      <c r="B37" s="13"/>
      <c r="C37" s="13"/>
      <c r="D37" s="13"/>
      <c r="E37" s="13"/>
      <c r="F37" s="13"/>
      <c r="H37" s="225"/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H38" s="225"/>
    </row>
    <row r="39" spans="1:8" s="11" customFormat="1" ht="12.75" customHeight="1" x14ac:dyDescent="0.25">
      <c r="A39" s="13"/>
      <c r="B39" s="13"/>
      <c r="C39" s="13"/>
      <c r="D39" s="13"/>
      <c r="E39" s="13"/>
      <c r="F39" s="13"/>
      <c r="H39" s="225"/>
    </row>
    <row r="40" spans="1:8" s="11" customFormat="1" ht="12.75" customHeight="1" x14ac:dyDescent="0.25">
      <c r="A40" s="13"/>
      <c r="B40" s="13"/>
      <c r="C40" s="13"/>
      <c r="D40" s="13"/>
      <c r="E40" s="13"/>
      <c r="F40" s="13"/>
      <c r="H40" s="225"/>
    </row>
    <row r="41" spans="1:8" ht="21" customHeight="1" x14ac:dyDescent="0.3">
      <c r="B41" s="15" t="s">
        <v>16</v>
      </c>
      <c r="C41" s="114"/>
      <c r="D41" s="114"/>
      <c r="E41" s="114"/>
      <c r="F41" s="114"/>
      <c r="G41" s="246"/>
      <c r="H41" s="246"/>
    </row>
    <row r="42" spans="1:8" ht="21" customHeight="1" x14ac:dyDescent="0.25">
      <c r="B42" s="13"/>
      <c r="C42" s="112"/>
      <c r="D42" s="112"/>
      <c r="E42" s="112"/>
      <c r="F42" s="112"/>
      <c r="G42" s="112"/>
      <c r="H42" s="112"/>
    </row>
    <row r="43" spans="1:8" ht="21" customHeight="1" x14ac:dyDescent="0.25">
      <c r="C43" s="114"/>
      <c r="D43" s="114"/>
      <c r="E43" s="114"/>
      <c r="F43" s="114"/>
      <c r="G43" s="114"/>
      <c r="H43" s="114"/>
    </row>
  </sheetData>
  <sheetProtection algorithmName="SHA-512" hashValue="CTGJLDwm/9i++mzQzASRToqH1LGX86DvuPBD6Rq2oDgaun6dUkKfIG83fb902sZxvmHzp+Zf4utR1cxpXnanyw==" saltValue="QdC/L9uJiKRf3DN7wQOVIw==" spinCount="100000" sheet="1" selectLockedCells="1"/>
  <mergeCells count="8">
    <mergeCell ref="A1:H1"/>
    <mergeCell ref="B22:G22"/>
    <mergeCell ref="E8:F8"/>
    <mergeCell ref="E9:F9"/>
    <mergeCell ref="E10:F11"/>
    <mergeCell ref="G10:G11"/>
    <mergeCell ref="E12:F12"/>
    <mergeCell ref="E13:F13"/>
  </mergeCells>
  <dataValidations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6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600-000001000000}">
      <formula1>0</formula1>
      <formula2>100</formula2>
    </dataValidation>
  </dataValidations>
  <hyperlinks>
    <hyperlink ref="H32" r:id="rId1" xr:uid="{00000000-0004-0000-0600-000000000000}"/>
    <hyperlink ref="H30" r:id="rId2" xr:uid="{00000000-0004-0000-0600-000001000000}"/>
    <hyperlink ref="H33" r:id="rId3" xr:uid="{00000000-0004-0000-06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4">
    <tabColor theme="9"/>
    <pageSetUpPr autoPageBreaks="0"/>
  </sheetPr>
  <dimension ref="A1:H43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183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1000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5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7">
        <f>E3+E3*E4/100</f>
        <v>1050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273" t="s">
        <v>99</v>
      </c>
      <c r="C8" s="274"/>
      <c r="D8" s="161"/>
      <c r="E8" s="506" t="s">
        <v>98</v>
      </c>
      <c r="F8" s="507"/>
      <c r="G8" s="174" t="s">
        <v>109</v>
      </c>
      <c r="H8" s="3"/>
    </row>
    <row r="9" spans="1:8" ht="12.75" customHeight="1" thickTop="1" x14ac:dyDescent="0.3">
      <c r="A9" s="22"/>
      <c r="B9" s="275" t="s">
        <v>100</v>
      </c>
      <c r="C9" s="276">
        <f>E5</f>
        <v>1050</v>
      </c>
      <c r="D9" s="161"/>
      <c r="E9" s="508" t="s">
        <v>168</v>
      </c>
      <c r="F9" s="509"/>
      <c r="G9" s="175">
        <f>E6</f>
        <v>50</v>
      </c>
      <c r="H9" s="3"/>
    </row>
    <row r="10" spans="1:8" ht="12.75" customHeight="1" x14ac:dyDescent="0.25">
      <c r="A10" s="22"/>
      <c r="B10" s="279" t="s">
        <v>111</v>
      </c>
      <c r="C10" s="298">
        <v>100</v>
      </c>
      <c r="D10" s="161"/>
      <c r="E10" s="185"/>
      <c r="F10" s="186" t="s">
        <v>108</v>
      </c>
      <c r="G10" s="192">
        <v>5</v>
      </c>
      <c r="H10" s="162"/>
    </row>
    <row r="11" spans="1:8" ht="12.75" customHeight="1" thickBot="1" x14ac:dyDescent="0.3">
      <c r="A11" s="22"/>
      <c r="B11" s="279" t="s">
        <v>110</v>
      </c>
      <c r="C11" s="299">
        <v>5</v>
      </c>
      <c r="D11" s="161"/>
      <c r="E11" s="188"/>
      <c r="F11" s="189"/>
      <c r="G11" s="190"/>
      <c r="H11" s="162"/>
    </row>
    <row r="12" spans="1:8" ht="18" customHeight="1" thickTop="1" thickBot="1" x14ac:dyDescent="0.3">
      <c r="A12" s="22"/>
      <c r="B12" s="283" t="s">
        <v>68</v>
      </c>
      <c r="C12" s="284">
        <f>IF(MOD(C9,C10)&lt;=(C10*0.65),ROUNDDOWN(+E5/C10,0),ROUNDUP(+E5/C10,0))</f>
        <v>10</v>
      </c>
      <c r="D12" s="161"/>
      <c r="E12" s="516" t="s">
        <v>107</v>
      </c>
      <c r="F12" s="517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112</v>
      </c>
      <c r="C13" s="284">
        <f>IF(ROUNDUP((C9-(C10*C12)),0)&lt;0,0,ROUNDUP((C9-(C10*C12))/C11,0))</f>
        <v>10</v>
      </c>
      <c r="D13" s="161"/>
      <c r="E13" s="518" t="s">
        <v>75</v>
      </c>
      <c r="F13" s="518"/>
      <c r="G13" s="286">
        <v>47</v>
      </c>
    </row>
    <row r="14" spans="1:8" ht="12.75" customHeight="1" x14ac:dyDescent="0.25">
      <c r="A14" s="22"/>
      <c r="B14" s="287" t="s">
        <v>70</v>
      </c>
      <c r="C14" s="78">
        <v>1523</v>
      </c>
      <c r="D14" s="161"/>
    </row>
    <row r="15" spans="1:8" ht="12.75" customHeight="1" x14ac:dyDescent="0.25">
      <c r="A15" s="22"/>
      <c r="B15" s="217" t="s">
        <v>113</v>
      </c>
      <c r="C15" s="157">
        <v>62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8" ht="18" customHeight="1" x14ac:dyDescent="0.25">
      <c r="A17" s="176"/>
      <c r="B17" s="176"/>
      <c r="C17" s="177" t="s">
        <v>114</v>
      </c>
      <c r="D17" s="178">
        <f>(C12*C10)+(C13*C11)</f>
        <v>1050</v>
      </c>
      <c r="E17" s="179" t="s">
        <v>184</v>
      </c>
      <c r="F17" s="176"/>
      <c r="G17" s="176"/>
      <c r="H17" s="176"/>
    </row>
    <row r="18" spans="1:8" s="11" customFormat="1" ht="18" customHeight="1" x14ac:dyDescent="0.25">
      <c r="A18" s="176"/>
      <c r="B18" s="176"/>
      <c r="C18" s="177" t="s">
        <v>101</v>
      </c>
      <c r="D18" s="178">
        <f>(C12*C14)+(C13*C15)</f>
        <v>15850</v>
      </c>
      <c r="E18" s="179" t="s">
        <v>3</v>
      </c>
      <c r="F18" s="176"/>
      <c r="G18" s="176"/>
      <c r="H18" s="176"/>
    </row>
    <row r="19" spans="1:8" s="11" customFormat="1" ht="18" customHeight="1" x14ac:dyDescent="0.3">
      <c r="A19" s="288"/>
      <c r="B19" s="288"/>
      <c r="C19" s="289" t="s">
        <v>97</v>
      </c>
      <c r="D19" s="290">
        <f>G10*G12</f>
        <v>50</v>
      </c>
      <c r="E19" s="291" t="s">
        <v>185</v>
      </c>
      <c r="F19" s="292"/>
      <c r="G19" s="288"/>
      <c r="H19" s="293"/>
    </row>
    <row r="20" spans="1:8" s="11" customFormat="1" ht="18" customHeight="1" x14ac:dyDescent="0.3">
      <c r="A20" s="288"/>
      <c r="B20" s="288"/>
      <c r="C20" s="289" t="s">
        <v>102</v>
      </c>
      <c r="D20" s="290">
        <f>G12*G13</f>
        <v>470</v>
      </c>
      <c r="E20" s="291" t="s">
        <v>3</v>
      </c>
      <c r="F20" s="292"/>
      <c r="G20" s="288"/>
      <c r="H20" s="293"/>
    </row>
    <row r="21" spans="1:8" s="11" customFormat="1" ht="18" customHeight="1" x14ac:dyDescent="0.25">
      <c r="A21" s="39"/>
      <c r="B21" s="39"/>
      <c r="C21" s="69" t="s">
        <v>94</v>
      </c>
      <c r="D21" s="70">
        <f>ROUND(+D17/25,0)</f>
        <v>42</v>
      </c>
      <c r="E21" s="294" t="s">
        <v>169</v>
      </c>
      <c r="F21" s="40"/>
      <c r="G21" s="39"/>
      <c r="H21" s="35"/>
    </row>
    <row r="22" spans="1:8" s="11" customFormat="1" ht="18" customHeight="1" x14ac:dyDescent="0.25">
      <c r="A22" s="39"/>
      <c r="B22" s="295"/>
      <c r="C22" s="69" t="s">
        <v>94</v>
      </c>
      <c r="D22" s="70">
        <f>ROUND(+D17/70,0)</f>
        <v>15</v>
      </c>
      <c r="E22" s="294" t="s">
        <v>180</v>
      </c>
      <c r="F22" s="40"/>
      <c r="G22" s="39"/>
      <c r="H22" s="35"/>
    </row>
    <row r="23" spans="1:8" s="11" customFormat="1" x14ac:dyDescent="0.25">
      <c r="A23" s="39"/>
      <c r="B23" s="521" t="s">
        <v>8</v>
      </c>
      <c r="C23" s="521"/>
      <c r="D23" s="521"/>
      <c r="E23" s="521"/>
      <c r="F23" s="521"/>
      <c r="G23" s="521"/>
      <c r="H23" s="35"/>
    </row>
    <row r="24" spans="1:8" s="11" customFormat="1" ht="18" customHeight="1" x14ac:dyDescent="0.25">
      <c r="A24" s="176"/>
      <c r="B24" s="176"/>
      <c r="C24" s="177" t="s">
        <v>96</v>
      </c>
      <c r="D24" s="178">
        <f>SUM(D18+D20)</f>
        <v>16320</v>
      </c>
      <c r="E24" s="179" t="s">
        <v>3</v>
      </c>
      <c r="F24" s="176"/>
      <c r="G24" s="176"/>
      <c r="H24" s="180"/>
    </row>
    <row r="25" spans="1:8" s="11" customFormat="1" ht="12.75" customHeight="1" x14ac:dyDescent="0.25">
      <c r="A25" s="23"/>
      <c r="B25" s="23"/>
      <c r="C25" s="23"/>
      <c r="D25" s="23"/>
      <c r="E25" s="23"/>
      <c r="F25" s="23"/>
      <c r="G25" s="23"/>
      <c r="H25" s="23"/>
    </row>
    <row r="26" spans="1:8" s="11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</row>
    <row r="27" spans="1:8" s="11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</row>
    <row r="28" spans="1:8" s="11" customFormat="1" ht="17.399999999999999" x14ac:dyDescent="0.25">
      <c r="A28" s="23"/>
      <c r="B28" s="23"/>
      <c r="C28" s="23"/>
      <c r="D28" s="23"/>
      <c r="E28" s="23"/>
      <c r="F28" s="23"/>
      <c r="G28" s="23"/>
      <c r="H28" s="223" t="s">
        <v>9</v>
      </c>
    </row>
    <row r="29" spans="1:8" s="11" customFormat="1" ht="12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s="11" customFormat="1" ht="12.75" customHeight="1" x14ac:dyDescent="0.25">
      <c r="A30" s="13"/>
      <c r="B30" s="13"/>
      <c r="C30" s="13"/>
      <c r="D30" s="13"/>
      <c r="F30" s="13"/>
      <c r="G30" s="13"/>
      <c r="H30" s="224" t="s">
        <v>55</v>
      </c>
    </row>
    <row r="31" spans="1:8" ht="12.75" customHeight="1" x14ac:dyDescent="0.25">
      <c r="A31" s="13"/>
      <c r="B31" s="13"/>
      <c r="C31" s="13"/>
      <c r="D31" s="13"/>
      <c r="E31" s="13"/>
      <c r="F31" s="13"/>
      <c r="G31" s="13"/>
      <c r="H31" s="199" t="s">
        <v>54</v>
      </c>
    </row>
    <row r="32" spans="1:8" ht="12.75" customHeight="1" x14ac:dyDescent="0.25">
      <c r="A32" s="13"/>
      <c r="B32" s="13"/>
      <c r="C32" s="13"/>
      <c r="D32" s="13"/>
      <c r="E32" s="13"/>
      <c r="F32" s="13"/>
      <c r="G32" s="13"/>
      <c r="H32" s="246"/>
    </row>
    <row r="33" spans="1:8" ht="12.75" customHeight="1" x14ac:dyDescent="0.25">
      <c r="A33" s="13"/>
      <c r="B33" s="13"/>
      <c r="C33" s="13"/>
      <c r="D33" s="13"/>
      <c r="E33" s="13"/>
      <c r="F33" s="13"/>
      <c r="G33" s="13"/>
      <c r="H33" s="199" t="s">
        <v>56</v>
      </c>
    </row>
    <row r="34" spans="1:8" ht="12.75" customHeight="1" x14ac:dyDescent="0.25">
      <c r="A34" s="13"/>
      <c r="B34" s="13"/>
      <c r="C34" s="13"/>
      <c r="D34" s="13"/>
      <c r="E34" s="13"/>
      <c r="F34" s="13"/>
      <c r="G34" s="11"/>
      <c r="H34" s="199" t="s">
        <v>10</v>
      </c>
    </row>
    <row r="35" spans="1:8" ht="12.75" customHeight="1" x14ac:dyDescent="0.25">
      <c r="A35" s="13"/>
      <c r="B35" s="13"/>
      <c r="C35" s="13"/>
      <c r="D35" s="13"/>
      <c r="E35" s="13"/>
      <c r="F35" s="13"/>
      <c r="G35" s="11"/>
      <c r="H35" s="225" t="s">
        <v>7</v>
      </c>
    </row>
    <row r="36" spans="1:8" ht="12.75" customHeight="1" x14ac:dyDescent="0.25">
      <c r="A36" s="13"/>
      <c r="B36" s="13"/>
      <c r="C36" s="13"/>
      <c r="D36" s="13"/>
      <c r="E36" s="13"/>
      <c r="F36" s="13"/>
      <c r="G36" s="11"/>
      <c r="H36" s="225"/>
    </row>
    <row r="37" spans="1:8" ht="12.75" customHeight="1" x14ac:dyDescent="0.25">
      <c r="A37" s="13"/>
      <c r="B37" s="13"/>
      <c r="C37" s="13"/>
      <c r="D37" s="13"/>
      <c r="E37" s="13"/>
      <c r="F37" s="13"/>
      <c r="G37" s="11"/>
      <c r="H37" s="225"/>
    </row>
    <row r="38" spans="1:8" ht="12.75" customHeight="1" x14ac:dyDescent="0.25">
      <c r="A38" s="13"/>
      <c r="B38" s="13"/>
      <c r="C38" s="13"/>
      <c r="D38" s="13"/>
      <c r="E38" s="13"/>
      <c r="F38" s="13"/>
      <c r="G38" s="11"/>
      <c r="H38" s="225"/>
    </row>
    <row r="39" spans="1:8" ht="12.75" customHeight="1" x14ac:dyDescent="0.25">
      <c r="A39" s="13"/>
      <c r="B39" s="13"/>
      <c r="C39" s="13"/>
      <c r="D39" s="13"/>
      <c r="E39" s="13"/>
      <c r="F39" s="13"/>
      <c r="G39" s="11"/>
      <c r="H39" s="225"/>
    </row>
    <row r="40" spans="1:8" ht="12.75" customHeight="1" x14ac:dyDescent="0.25">
      <c r="A40" s="13"/>
      <c r="B40" s="13"/>
      <c r="C40" s="13"/>
      <c r="D40" s="13"/>
      <c r="E40" s="13"/>
      <c r="F40" s="13"/>
      <c r="G40" s="11"/>
      <c r="H40" s="225"/>
    </row>
    <row r="41" spans="1:8" ht="21" customHeight="1" x14ac:dyDescent="0.3">
      <c r="B41" s="15" t="s">
        <v>16</v>
      </c>
      <c r="C41" s="519"/>
      <c r="D41" s="519"/>
      <c r="E41" s="519"/>
      <c r="F41" s="519"/>
      <c r="G41" s="519"/>
      <c r="H41" s="519"/>
    </row>
    <row r="42" spans="1:8" ht="21" customHeight="1" x14ac:dyDescent="0.25">
      <c r="B42" s="13"/>
      <c r="C42" s="520"/>
      <c r="D42" s="520"/>
      <c r="E42" s="520"/>
      <c r="F42" s="520"/>
      <c r="G42" s="520"/>
      <c r="H42" s="520"/>
    </row>
    <row r="43" spans="1:8" ht="21" customHeight="1" x14ac:dyDescent="0.25">
      <c r="C43" s="520"/>
      <c r="D43" s="520"/>
      <c r="E43" s="520"/>
      <c r="F43" s="520"/>
      <c r="G43" s="520"/>
      <c r="H43" s="520"/>
    </row>
  </sheetData>
  <sheetProtection algorithmName="SHA-512" hashValue="v1djc2hT10eX0o8Tv0DG7pm5KnWwSKdRkD4b1F31OL76aXFpaLQSbPQbkTXTzjMgHhMvpWr2STUpVJ/vy303AQ==" saltValue="OVNXy+xsCotjQEY1yetcwg==" spinCount="100000" sheet="1" selectLockedCells="1"/>
  <mergeCells count="9">
    <mergeCell ref="C41:H41"/>
    <mergeCell ref="C42:H42"/>
    <mergeCell ref="C43:H43"/>
    <mergeCell ref="A1:H1"/>
    <mergeCell ref="E8:F8"/>
    <mergeCell ref="E9:F9"/>
    <mergeCell ref="E12:F12"/>
    <mergeCell ref="E13:F13"/>
    <mergeCell ref="B23:G23"/>
  </mergeCells>
  <dataValidations count="2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7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700-000001000000}">
      <formula1>0</formula1>
      <formula2>100</formula2>
    </dataValidation>
  </dataValidations>
  <hyperlinks>
    <hyperlink ref="H34" r:id="rId1" xr:uid="{00000000-0004-0000-0700-000000000000}"/>
    <hyperlink ref="H31" r:id="rId2" xr:uid="{00000000-0004-0000-0700-000001000000}"/>
    <hyperlink ref="H33" r:id="rId3" xr:uid="{00000000-0004-0000-07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8">
    <tabColor theme="9"/>
    <pageSetUpPr autoPageBreaks="0"/>
  </sheetPr>
  <dimension ref="A1:H43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05" t="s">
        <v>156</v>
      </c>
      <c r="B1" s="505"/>
      <c r="C1" s="505"/>
      <c r="D1" s="505"/>
      <c r="E1" s="505"/>
      <c r="F1" s="505"/>
      <c r="G1" s="505"/>
      <c r="H1" s="50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86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85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76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273" t="s">
        <v>99</v>
      </c>
      <c r="C8" s="274"/>
      <c r="D8" s="161"/>
      <c r="E8" s="506" t="s">
        <v>98</v>
      </c>
      <c r="F8" s="507"/>
      <c r="G8" s="174" t="s">
        <v>109</v>
      </c>
      <c r="H8" s="3"/>
    </row>
    <row r="9" spans="1:8" ht="12.75" customHeight="1" thickTop="1" x14ac:dyDescent="0.3">
      <c r="A9" s="22"/>
      <c r="B9" s="275" t="s">
        <v>100</v>
      </c>
      <c r="C9" s="276">
        <f>E5</f>
        <v>200</v>
      </c>
      <c r="D9" s="161"/>
      <c r="E9" s="508" t="s">
        <v>168</v>
      </c>
      <c r="F9" s="509"/>
      <c r="G9" s="175">
        <f>E6</f>
        <v>50</v>
      </c>
      <c r="H9" s="3"/>
    </row>
    <row r="10" spans="1:8" ht="12.75" customHeight="1" x14ac:dyDescent="0.25">
      <c r="A10" s="22"/>
      <c r="B10" s="279" t="s">
        <v>111</v>
      </c>
      <c r="C10" s="296">
        <v>100</v>
      </c>
      <c r="D10" s="161"/>
      <c r="E10" s="510" t="s">
        <v>108</v>
      </c>
      <c r="F10" s="511"/>
      <c r="G10" s="514">
        <v>5</v>
      </c>
      <c r="H10" s="162"/>
    </row>
    <row r="11" spans="1:8" ht="12.75" customHeight="1" thickBot="1" x14ac:dyDescent="0.3">
      <c r="A11" s="22"/>
      <c r="B11" s="279" t="s">
        <v>110</v>
      </c>
      <c r="C11" s="297">
        <v>5</v>
      </c>
      <c r="D11" s="161"/>
      <c r="E11" s="512"/>
      <c r="F11" s="513"/>
      <c r="G11" s="515"/>
      <c r="H11" s="162"/>
    </row>
    <row r="12" spans="1:8" ht="18" customHeight="1" thickTop="1" thickBot="1" x14ac:dyDescent="0.3">
      <c r="A12" s="22"/>
      <c r="B12" s="283" t="s">
        <v>68</v>
      </c>
      <c r="C12" s="284">
        <f>IF(MOD(C9,C10)&lt;=65,ROUNDDOWN(+E5/C10,0),ROUNDUP(+E5/C10,0))</f>
        <v>2</v>
      </c>
      <c r="D12" s="161"/>
      <c r="E12" s="516" t="s">
        <v>107</v>
      </c>
      <c r="F12" s="517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112</v>
      </c>
      <c r="C13" s="284">
        <f>IF(ROUNDUP((C9-(C10*C12)),0)&lt;0,0,ROUNDUP((C9-(C10*C12))/C11,0))</f>
        <v>0</v>
      </c>
      <c r="D13" s="161"/>
      <c r="E13" s="518" t="s">
        <v>75</v>
      </c>
      <c r="F13" s="518"/>
      <c r="G13" s="286">
        <v>52</v>
      </c>
    </row>
    <row r="14" spans="1:8" ht="12.75" customHeight="1" x14ac:dyDescent="0.25">
      <c r="A14" s="22"/>
      <c r="B14" s="287" t="s">
        <v>70</v>
      </c>
      <c r="C14" s="78">
        <v>1670</v>
      </c>
      <c r="D14" s="161"/>
    </row>
    <row r="15" spans="1:8" ht="12.75" customHeight="1" x14ac:dyDescent="0.25">
      <c r="A15" s="22"/>
      <c r="B15" s="217" t="s">
        <v>113</v>
      </c>
      <c r="C15" s="157">
        <v>83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8" ht="18" customHeight="1" x14ac:dyDescent="0.25">
      <c r="A17" s="176"/>
      <c r="B17" s="176"/>
      <c r="C17" s="177" t="s">
        <v>114</v>
      </c>
      <c r="D17" s="178">
        <f>(C12*C10)+(C13*C11)</f>
        <v>200</v>
      </c>
      <c r="E17" s="179" t="s">
        <v>170</v>
      </c>
      <c r="F17" s="176"/>
      <c r="G17" s="176"/>
      <c r="H17" s="176"/>
    </row>
    <row r="18" spans="1:8" s="11" customFormat="1" ht="18" customHeight="1" x14ac:dyDescent="0.25">
      <c r="A18" s="176"/>
      <c r="B18" s="176"/>
      <c r="C18" s="177" t="s">
        <v>101</v>
      </c>
      <c r="D18" s="178">
        <f>(C12*C14)+(C13*C15)</f>
        <v>3340</v>
      </c>
      <c r="E18" s="179" t="s">
        <v>3</v>
      </c>
      <c r="F18" s="176"/>
      <c r="G18" s="176"/>
      <c r="H18" s="176"/>
    </row>
    <row r="19" spans="1:8" s="11" customFormat="1" ht="18" customHeight="1" x14ac:dyDescent="0.3">
      <c r="A19" s="288"/>
      <c r="B19" s="288"/>
      <c r="C19" s="289" t="s">
        <v>97</v>
      </c>
      <c r="D19" s="290">
        <f>G10*G12</f>
        <v>50</v>
      </c>
      <c r="E19" s="291" t="s">
        <v>171</v>
      </c>
      <c r="F19" s="292"/>
      <c r="G19" s="288"/>
      <c r="H19" s="293"/>
    </row>
    <row r="20" spans="1:8" s="11" customFormat="1" ht="18" customHeight="1" x14ac:dyDescent="0.3">
      <c r="A20" s="288"/>
      <c r="B20" s="288"/>
      <c r="C20" s="289" t="s">
        <v>102</v>
      </c>
      <c r="D20" s="290">
        <f>G12*G13</f>
        <v>520</v>
      </c>
      <c r="E20" s="291" t="s">
        <v>3</v>
      </c>
      <c r="F20" s="292"/>
      <c r="G20" s="288"/>
      <c r="H20" s="293"/>
    </row>
    <row r="21" spans="1:8" s="11" customFormat="1" ht="18" customHeight="1" x14ac:dyDescent="0.25">
      <c r="A21" s="39"/>
      <c r="B21" s="39"/>
      <c r="C21" s="69" t="s">
        <v>94</v>
      </c>
      <c r="D21" s="70">
        <f>ROUND(+D17/25,0)</f>
        <v>8</v>
      </c>
      <c r="E21" s="294" t="s">
        <v>169</v>
      </c>
      <c r="F21" s="40"/>
      <c r="G21" s="39"/>
      <c r="H21" s="35"/>
    </row>
    <row r="22" spans="1:8" s="11" customFormat="1" x14ac:dyDescent="0.25">
      <c r="A22" s="39"/>
      <c r="B22" s="521" t="s">
        <v>8</v>
      </c>
      <c r="C22" s="521"/>
      <c r="D22" s="521"/>
      <c r="E22" s="521"/>
      <c r="F22" s="521"/>
      <c r="G22" s="521"/>
      <c r="H22" s="35"/>
    </row>
    <row r="23" spans="1:8" s="11" customFormat="1" ht="18" customHeight="1" x14ac:dyDescent="0.25">
      <c r="A23" s="176"/>
      <c r="B23" s="176"/>
      <c r="C23" s="177" t="s">
        <v>96</v>
      </c>
      <c r="D23" s="178">
        <f>SUM(D18+D20)</f>
        <v>3860</v>
      </c>
      <c r="E23" s="179" t="s">
        <v>3</v>
      </c>
      <c r="F23" s="176"/>
      <c r="G23" s="176"/>
      <c r="H23" s="180"/>
    </row>
    <row r="24" spans="1:8" s="11" customFormat="1" ht="12.75" customHeight="1" x14ac:dyDescent="0.25">
      <c r="A24" s="23"/>
      <c r="B24" s="23"/>
      <c r="C24" s="23"/>
      <c r="D24" s="23"/>
      <c r="E24" s="23"/>
      <c r="F24" s="23"/>
      <c r="G24" s="23"/>
      <c r="H24" s="23"/>
    </row>
    <row r="25" spans="1:8" s="11" customFormat="1" ht="12.75" customHeight="1" x14ac:dyDescent="0.25">
      <c r="A25" s="23"/>
      <c r="B25" s="23"/>
      <c r="C25" s="23"/>
      <c r="D25" s="23"/>
      <c r="E25" s="23"/>
      <c r="F25" s="23"/>
      <c r="G25" s="23"/>
      <c r="H25" s="23"/>
    </row>
    <row r="26" spans="1:8" s="11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</row>
    <row r="27" spans="1:8" s="11" customFormat="1" ht="17.399999999999999" x14ac:dyDescent="0.25">
      <c r="A27" s="23"/>
      <c r="B27" s="23"/>
      <c r="C27" s="23"/>
      <c r="D27" s="23"/>
      <c r="E27" s="23"/>
      <c r="F27" s="23"/>
      <c r="G27" s="23"/>
      <c r="H27" s="223" t="s">
        <v>9</v>
      </c>
    </row>
    <row r="28" spans="1:8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8" s="11" customFormat="1" ht="12.75" customHeight="1" x14ac:dyDescent="0.25">
      <c r="A29" s="13"/>
      <c r="B29" s="13"/>
      <c r="C29" s="13"/>
      <c r="D29" s="13"/>
      <c r="F29" s="13"/>
      <c r="G29" s="13"/>
      <c r="H29" s="224" t="s">
        <v>55</v>
      </c>
    </row>
    <row r="30" spans="1:8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54</v>
      </c>
    </row>
    <row r="31" spans="1:8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8" ht="18" customHeight="1" x14ac:dyDescent="0.25">
      <c r="A32" s="13"/>
      <c r="B32" s="13"/>
      <c r="C32" s="13"/>
      <c r="D32" s="13"/>
      <c r="E32" s="13"/>
      <c r="F32" s="13"/>
      <c r="G32" s="13"/>
      <c r="H32" s="199" t="s">
        <v>56</v>
      </c>
    </row>
    <row r="33" spans="1:8" ht="12.75" customHeight="1" x14ac:dyDescent="0.25">
      <c r="A33" s="13"/>
      <c r="B33" s="13"/>
      <c r="C33" s="13"/>
      <c r="D33" s="13"/>
      <c r="E33" s="13"/>
      <c r="F33" s="13"/>
      <c r="G33" s="11"/>
      <c r="H33" s="199" t="s">
        <v>10</v>
      </c>
    </row>
    <row r="34" spans="1:8" ht="12.75" customHeight="1" x14ac:dyDescent="0.25">
      <c r="A34" s="13"/>
      <c r="B34" s="13"/>
      <c r="C34" s="13"/>
      <c r="D34" s="13"/>
      <c r="E34" s="13"/>
      <c r="F34" s="13"/>
      <c r="G34" s="11"/>
      <c r="H34" s="225" t="s">
        <v>7</v>
      </c>
    </row>
    <row r="35" spans="1:8" ht="12.75" customHeight="1" x14ac:dyDescent="0.25">
      <c r="A35" s="13"/>
      <c r="B35" s="13"/>
      <c r="C35" s="13"/>
      <c r="D35" s="13"/>
      <c r="E35" s="13"/>
      <c r="F35" s="13"/>
      <c r="G35" s="11"/>
      <c r="H35" s="225"/>
    </row>
    <row r="36" spans="1:8" ht="12.75" customHeight="1" x14ac:dyDescent="0.25">
      <c r="A36" s="13"/>
      <c r="B36" s="13"/>
      <c r="C36" s="13"/>
      <c r="D36" s="13"/>
      <c r="E36" s="13"/>
      <c r="F36" s="13"/>
      <c r="G36" s="11"/>
      <c r="H36" s="225"/>
    </row>
    <row r="37" spans="1:8" ht="12.75" customHeight="1" x14ac:dyDescent="0.25">
      <c r="A37" s="13"/>
      <c r="B37" s="13"/>
      <c r="C37" s="13"/>
      <c r="D37" s="13"/>
      <c r="E37" s="13"/>
      <c r="F37" s="13"/>
      <c r="G37" s="11"/>
      <c r="H37" s="225"/>
    </row>
    <row r="38" spans="1:8" ht="12.75" customHeight="1" x14ac:dyDescent="0.25">
      <c r="A38" s="13"/>
      <c r="B38" s="13"/>
      <c r="C38" s="13"/>
      <c r="D38" s="13"/>
      <c r="E38" s="13"/>
      <c r="F38" s="13"/>
      <c r="G38" s="11"/>
      <c r="H38" s="225"/>
    </row>
    <row r="39" spans="1:8" ht="12.75" customHeight="1" x14ac:dyDescent="0.25">
      <c r="A39" s="13"/>
      <c r="B39" s="13"/>
      <c r="C39" s="13"/>
      <c r="D39" s="13"/>
      <c r="E39" s="13"/>
      <c r="F39" s="13"/>
      <c r="G39" s="11"/>
      <c r="H39" s="225"/>
    </row>
    <row r="40" spans="1:8" ht="12.75" customHeight="1" x14ac:dyDescent="0.25">
      <c r="A40" s="13"/>
      <c r="B40" s="13"/>
      <c r="C40" s="13"/>
      <c r="D40" s="13"/>
      <c r="E40" s="13"/>
      <c r="F40" s="13"/>
      <c r="G40" s="11"/>
      <c r="H40" s="225"/>
    </row>
    <row r="41" spans="1:8" ht="21" customHeight="1" x14ac:dyDescent="0.3">
      <c r="B41" s="15" t="s">
        <v>16</v>
      </c>
      <c r="C41" s="519"/>
      <c r="D41" s="519"/>
      <c r="E41" s="519"/>
      <c r="F41" s="519"/>
      <c r="G41" s="519"/>
      <c r="H41" s="519"/>
    </row>
    <row r="42" spans="1:8" ht="21" customHeight="1" x14ac:dyDescent="0.25">
      <c r="B42" s="13"/>
      <c r="C42" s="520"/>
      <c r="D42" s="520"/>
      <c r="E42" s="520"/>
      <c r="F42" s="520"/>
      <c r="G42" s="520"/>
      <c r="H42" s="520"/>
    </row>
    <row r="43" spans="1:8" ht="21" customHeight="1" x14ac:dyDescent="0.25">
      <c r="C43" s="520"/>
      <c r="D43" s="520"/>
      <c r="E43" s="520"/>
      <c r="F43" s="520"/>
      <c r="G43" s="520"/>
      <c r="H43" s="520"/>
    </row>
  </sheetData>
  <sheetProtection algorithmName="SHA-512" hashValue="yrvvizHdx3dk1+/v3ZKAe5nKTJcWGUNoVnV/Fmsi0C72wou5xRn5FTAv6TN5wmbkPGlvvjDdzb8ghJilIDw2dw==" saltValue="cnhisg1ANwCxa7YLWu0m0w==" spinCount="100000" sheet="1" selectLockedCells="1"/>
  <mergeCells count="11">
    <mergeCell ref="C41:H41"/>
    <mergeCell ref="C42:H42"/>
    <mergeCell ref="C43:H43"/>
    <mergeCell ref="A1:H1"/>
    <mergeCell ref="E8:F8"/>
    <mergeCell ref="E9:F9"/>
    <mergeCell ref="E10:F11"/>
    <mergeCell ref="G10:G11"/>
    <mergeCell ref="E12:F12"/>
    <mergeCell ref="E13:F13"/>
    <mergeCell ref="B22:G22"/>
  </mergeCells>
  <dataValidations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8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800-000001000000}">
      <formula1>0</formula1>
      <formula2>100</formula2>
    </dataValidation>
  </dataValidations>
  <hyperlinks>
    <hyperlink ref="H33" r:id="rId1" xr:uid="{00000000-0004-0000-0800-000000000000}"/>
    <hyperlink ref="H30" r:id="rId2" xr:uid="{00000000-0004-0000-0800-000001000000}"/>
    <hyperlink ref="H32" r:id="rId3" xr:uid="{00000000-0004-0000-0800-000002000000}"/>
  </hyperlinks>
  <pageMargins left="0.75" right="0.75" top="1" bottom="1" header="0.5" footer="0.5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44</vt:i4>
      </vt:variant>
    </vt:vector>
  </HeadingPairs>
  <TitlesOfParts>
    <vt:vector size="94" baseType="lpstr">
      <vt:lpstr>INDEX</vt:lpstr>
      <vt:lpstr>CU3</vt:lpstr>
      <vt:lpstr>GC3</vt:lpstr>
      <vt:lpstr>GC4</vt:lpstr>
      <vt:lpstr>MH2</vt:lpstr>
      <vt:lpstr>OC3</vt:lpstr>
      <vt:lpstr>AS3</vt:lpstr>
      <vt:lpstr>COA3</vt:lpstr>
      <vt:lpstr>MID218</vt:lpstr>
      <vt:lpstr>MID218j</vt:lpstr>
      <vt:lpstr>MID358</vt:lpstr>
      <vt:lpstr>MID358j</vt:lpstr>
      <vt:lpstr>CD3</vt:lpstr>
      <vt:lpstr>CD3b</vt:lpstr>
      <vt:lpstr>CD4</vt:lpstr>
      <vt:lpstr>ER2</vt:lpstr>
      <vt:lpstr>ER2_ALT</vt:lpstr>
      <vt:lpstr>FR3</vt:lpstr>
      <vt:lpstr>LR3</vt:lpstr>
      <vt:lpstr>LR4</vt:lpstr>
      <vt:lpstr>MET3a</vt:lpstr>
      <vt:lpstr>MET3c</vt:lpstr>
      <vt:lpstr>SH2</vt:lpstr>
      <vt:lpstr>SH3</vt:lpstr>
      <vt:lpstr>SH4</vt:lpstr>
      <vt:lpstr>SH4b</vt:lpstr>
      <vt:lpstr>SH5</vt:lpstr>
      <vt:lpstr>UL3a</vt:lpstr>
      <vt:lpstr>UL3c</vt:lpstr>
      <vt:lpstr>THIN_LR</vt:lpstr>
      <vt:lpstr>THIN_LR4</vt:lpstr>
      <vt:lpstr>THIN_SH3</vt:lpstr>
      <vt:lpstr>THIN_CD4</vt:lpstr>
      <vt:lpstr>THIN_UL3c</vt:lpstr>
      <vt:lpstr>THIN_FR3 </vt:lpstr>
      <vt:lpstr>THIN_ER2 </vt:lpstr>
      <vt:lpstr>GB2</vt:lpstr>
      <vt:lpstr>GB3</vt:lpstr>
      <vt:lpstr>GB4</vt:lpstr>
      <vt:lpstr>GB4_start</vt:lpstr>
      <vt:lpstr>GB5</vt:lpstr>
      <vt:lpstr>AP3a</vt:lpstr>
      <vt:lpstr>AP3c</vt:lpstr>
      <vt:lpstr>AST3a </vt:lpstr>
      <vt:lpstr>AST3c</vt:lpstr>
      <vt:lpstr>ALSB23</vt:lpstr>
      <vt:lpstr>CON31</vt:lpstr>
      <vt:lpstr>TVB31</vt:lpstr>
      <vt:lpstr>MID358j (2)</vt:lpstr>
      <vt:lpstr>AS3 (2)</vt:lpstr>
      <vt:lpstr>ALSB23!Print_Area</vt:lpstr>
      <vt:lpstr>AP3a!Print_Area</vt:lpstr>
      <vt:lpstr>AP3c!Print_Area</vt:lpstr>
      <vt:lpstr>'AS3'!Print_Area</vt:lpstr>
      <vt:lpstr>'AS3 (2)'!Print_Area</vt:lpstr>
      <vt:lpstr>'AST3a '!Print_Area</vt:lpstr>
      <vt:lpstr>AST3c!Print_Area</vt:lpstr>
      <vt:lpstr>'CD3'!Print_Area</vt:lpstr>
      <vt:lpstr>CD3b!Print_Area</vt:lpstr>
      <vt:lpstr>'CD4'!Print_Area</vt:lpstr>
      <vt:lpstr>'CON31'!Print_Area</vt:lpstr>
      <vt:lpstr>'CU3'!Print_Area</vt:lpstr>
      <vt:lpstr>'ER2'!Print_Area</vt:lpstr>
      <vt:lpstr>ER2_ALT!Print_Area</vt:lpstr>
      <vt:lpstr>'FR3'!Print_Area</vt:lpstr>
      <vt:lpstr>'GB2'!Print_Area</vt:lpstr>
      <vt:lpstr>'GB3'!Print_Area</vt:lpstr>
      <vt:lpstr>'GB4'!Print_Area</vt:lpstr>
      <vt:lpstr>GB4_start!Print_Area</vt:lpstr>
      <vt:lpstr>'GB5'!Print_Area</vt:lpstr>
      <vt:lpstr>'GC3'!Print_Area</vt:lpstr>
      <vt:lpstr>'GC4'!Print_Area</vt:lpstr>
      <vt:lpstr>INDEX!Print_Area</vt:lpstr>
      <vt:lpstr>'LR3'!Print_Area</vt:lpstr>
      <vt:lpstr>'LR4'!Print_Area</vt:lpstr>
      <vt:lpstr>MET3a!Print_Area</vt:lpstr>
      <vt:lpstr>MET3c!Print_Area</vt:lpstr>
      <vt:lpstr>'MH2'!Print_Area</vt:lpstr>
      <vt:lpstr>'OC3'!Print_Area</vt:lpstr>
      <vt:lpstr>'SH2'!Print_Area</vt:lpstr>
      <vt:lpstr>'SH3'!Print_Area</vt:lpstr>
      <vt:lpstr>'SH4'!Print_Area</vt:lpstr>
      <vt:lpstr>SH4b!Print_Area</vt:lpstr>
      <vt:lpstr>'SH5'!Print_Area</vt:lpstr>
      <vt:lpstr>THIN_CD4!Print_Area</vt:lpstr>
      <vt:lpstr>'THIN_ER2 '!Print_Area</vt:lpstr>
      <vt:lpstr>'THIN_FR3 '!Print_Area</vt:lpstr>
      <vt:lpstr>THIN_LR!Print_Area</vt:lpstr>
      <vt:lpstr>THIN_LR4!Print_Area</vt:lpstr>
      <vt:lpstr>THIN_SH3!Print_Area</vt:lpstr>
      <vt:lpstr>THIN_UL3c!Print_Area</vt:lpstr>
      <vt:lpstr>'TVB31'!Print_Area</vt:lpstr>
      <vt:lpstr>UL3a!Print_Area</vt:lpstr>
      <vt:lpstr>UL3c!Print_Area</vt:lpstr>
    </vt:vector>
  </TitlesOfParts>
  <Company>Arriscraft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Schmidt</dc:creator>
  <cp:lastModifiedBy>Jennifer Vigil</cp:lastModifiedBy>
  <cp:lastPrinted>2018-01-16T21:06:21Z</cp:lastPrinted>
  <dcterms:created xsi:type="dcterms:W3CDTF">2000-02-23T21:47:52Z</dcterms:created>
  <dcterms:modified xsi:type="dcterms:W3CDTF">2021-03-16T14:27:59Z</dcterms:modified>
</cp:coreProperties>
</file>