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M:\Research Geology\Technical\Drop Box\Building Stone Calculator\"/>
    </mc:Choice>
  </mc:AlternateContent>
  <xr:revisionPtr revIDLastSave="0" documentId="13_ncr:1_{7A1B669C-793E-4B0B-A137-244C313C8670}" xr6:coauthVersionLast="41" xr6:coauthVersionMax="41" xr10:uidLastSave="{00000000-0000-0000-0000-000000000000}"/>
  <bookViews>
    <workbookView xWindow="-108" yWindow="-108" windowWidth="23256" windowHeight="12576" tabRatio="804" xr2:uid="{00000000-000D-0000-FFFF-FFFF00000000}"/>
  </bookViews>
  <sheets>
    <sheet name="INDEX" sheetId="17" r:id="rId1"/>
    <sheet name="CU3" sheetId="19" r:id="rId2"/>
    <sheet name="GC3" sheetId="30" r:id="rId3"/>
    <sheet name="GC4" sheetId="13" r:id="rId4"/>
    <sheet name="MH2" sheetId="36" r:id="rId5"/>
    <sheet name="OC3" sheetId="21" r:id="rId6"/>
    <sheet name="AS3" sheetId="40" r:id="rId7"/>
    <sheet name="COA3" sheetId="41" r:id="rId8"/>
    <sheet name="MID218" sheetId="42" r:id="rId9"/>
    <sheet name="MID218j" sheetId="43" r:id="rId10"/>
    <sheet name="MID358" sheetId="44" r:id="rId11"/>
    <sheet name="MID358j" sheetId="45" r:id="rId12"/>
    <sheet name="CD3" sheetId="6" r:id="rId13"/>
    <sheet name="CD3b" sheetId="20" r:id="rId14"/>
    <sheet name="CD4" sheetId="7" r:id="rId15"/>
    <sheet name="ER2" sheetId="22" r:id="rId16"/>
    <sheet name="ER2_ALT" sheetId="64" r:id="rId17"/>
    <sheet name="FR3" sheetId="26" r:id="rId18"/>
    <sheet name="LR3" sheetId="2" r:id="rId19"/>
    <sheet name="LR4" sheetId="5" r:id="rId20"/>
    <sheet name="MET3a" sheetId="61" r:id="rId21"/>
    <sheet name="MET3c" sheetId="62" r:id="rId22"/>
    <sheet name="SH2" sheetId="16" r:id="rId23"/>
    <sheet name="SH3" sheetId="10" r:id="rId24"/>
    <sheet name="SH4" sheetId="27" r:id="rId25"/>
    <sheet name="SH5" sheetId="18" r:id="rId26"/>
    <sheet name="UL3a" sheetId="34" r:id="rId27"/>
    <sheet name="UL3c" sheetId="33" r:id="rId28"/>
    <sheet name="THIN_LR" sheetId="46" state="hidden" r:id="rId29"/>
    <sheet name="THIN_LR4" sheetId="47" state="hidden" r:id="rId30"/>
    <sheet name="THIN_SH3" sheetId="51" state="hidden" r:id="rId31"/>
    <sheet name="THIN_CD4" sheetId="52" state="hidden" r:id="rId32"/>
    <sheet name="THIN_UL3c" sheetId="53" state="hidden" r:id="rId33"/>
    <sheet name="THIN_FR3 " sheetId="54" state="hidden" r:id="rId34"/>
    <sheet name="THIN_ER2 " sheetId="55" state="hidden" r:id="rId35"/>
    <sheet name="GB3" sheetId="56" r:id="rId36"/>
    <sheet name="AP3a" sheetId="57" r:id="rId37"/>
    <sheet name="AP3c" sheetId="58" r:id="rId38"/>
    <sheet name="AST3a " sheetId="59" r:id="rId39"/>
    <sheet name="AST3c" sheetId="60" r:id="rId40"/>
    <sheet name="ALSB23" sheetId="63" r:id="rId41"/>
    <sheet name="CON31" sheetId="37" r:id="rId42"/>
    <sheet name="TVB31" sheetId="38" r:id="rId43"/>
    <sheet name="MID358j (2)" sheetId="49" r:id="rId44"/>
    <sheet name="AS3 (2)" sheetId="50" r:id="rId45"/>
  </sheets>
  <definedNames>
    <definedName name="_xlnm.Print_Area" localSheetId="40">ALSB23!$A$1:$H$48</definedName>
    <definedName name="_xlnm.Print_Area" localSheetId="36">AP3a!$A$1:$H$48</definedName>
    <definedName name="_xlnm.Print_Area" localSheetId="37">AP3c!$A$1:$H$48</definedName>
    <definedName name="_xlnm.Print_Area" localSheetId="6">'AS3'!$A$1:$H$43</definedName>
    <definedName name="_xlnm.Print_Area" localSheetId="44">'AS3 (2)'!$A$1:$H$43</definedName>
    <definedName name="_xlnm.Print_Area" localSheetId="38">'AST3a '!$A$1:$H$48</definedName>
    <definedName name="_xlnm.Print_Area" localSheetId="39">AST3c!$A$1:$H$48</definedName>
    <definedName name="_xlnm.Print_Area" localSheetId="12">'CD3'!$A$1:$H$48</definedName>
    <definedName name="_xlnm.Print_Area" localSheetId="13">CD3b!$A$1:$H$48</definedName>
    <definedName name="_xlnm.Print_Area" localSheetId="14">'CD4'!$A$1:$H$48</definedName>
    <definedName name="_xlnm.Print_Area" localSheetId="41">'CON31'!$A$1:$H$48</definedName>
    <definedName name="_xlnm.Print_Area" localSheetId="1">'CU3'!$A$1:$H$48</definedName>
    <definedName name="_xlnm.Print_Area" localSheetId="15">'ER2'!$A$1:$H$48</definedName>
    <definedName name="_xlnm.Print_Area" localSheetId="16">ER2_ALT!$A$1:$H$48</definedName>
    <definedName name="_xlnm.Print_Area" localSheetId="17">'FR3'!$A$1:$H$48</definedName>
    <definedName name="_xlnm.Print_Area" localSheetId="35">'GB3'!$A$1:$H$48</definedName>
    <definedName name="_xlnm.Print_Area" localSheetId="2">'GC3'!$A$1:$H$48</definedName>
    <definedName name="_xlnm.Print_Area" localSheetId="3">'GC4'!$A$1:$H$48</definedName>
    <definedName name="_xlnm.Print_Area" localSheetId="0">INDEX!$A$2:$D$46</definedName>
    <definedName name="_xlnm.Print_Area" localSheetId="18">'LR3'!$A$1:$H$48</definedName>
    <definedName name="_xlnm.Print_Area" localSheetId="19">'LR4'!$A$1:$H$48</definedName>
    <definedName name="_xlnm.Print_Area" localSheetId="20">MET3a!$A$1:$H$48</definedName>
    <definedName name="_xlnm.Print_Area" localSheetId="21">MET3c!$A$1:$H$48</definedName>
    <definedName name="_xlnm.Print_Area" localSheetId="4">'MH2'!$A$1:$H$48</definedName>
    <definedName name="_xlnm.Print_Area" localSheetId="5">'OC3'!$A$1:$H$48</definedName>
    <definedName name="_xlnm.Print_Area" localSheetId="22">'SH2'!$A$1:$H$48</definedName>
    <definedName name="_xlnm.Print_Area" localSheetId="23">'SH3'!$A$1:$H$48</definedName>
    <definedName name="_xlnm.Print_Area" localSheetId="24">'SH4'!$A$1:$H$48</definedName>
    <definedName name="_xlnm.Print_Area" localSheetId="25">'SH5'!$A$1:$I$48</definedName>
    <definedName name="_xlnm.Print_Area" localSheetId="31">THIN_CD4!$A$1:$H$54</definedName>
    <definedName name="_xlnm.Print_Area" localSheetId="34">'THIN_ER2 '!$A$1:$H$54</definedName>
    <definedName name="_xlnm.Print_Area" localSheetId="33">'THIN_FR3 '!$A$1:$H$54</definedName>
    <definedName name="_xlnm.Print_Area" localSheetId="28">THIN_LR!$A$1:$H$48</definedName>
    <definedName name="_xlnm.Print_Area" localSheetId="29">THIN_LR4!$A$1:$H$54</definedName>
    <definedName name="_xlnm.Print_Area" localSheetId="30">THIN_SH3!$A$1:$H$54</definedName>
    <definedName name="_xlnm.Print_Area" localSheetId="32">THIN_UL3c!$A$1:$H$54</definedName>
    <definedName name="_xlnm.Print_Area" localSheetId="42">'TVB31'!$A$1:$H$48</definedName>
    <definedName name="_xlnm.Print_Area" localSheetId="26">UL3a!$A$1:$H$48</definedName>
    <definedName name="_xlnm.Print_Area" localSheetId="27">UL3c!$A$1:$H$48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64" l="1"/>
  <c r="C18" i="64"/>
  <c r="E8" i="64"/>
  <c r="E5" i="64"/>
  <c r="C10" i="64" s="1"/>
  <c r="C15" i="64" l="1"/>
  <c r="C16" i="64" s="1"/>
  <c r="D10" i="64"/>
  <c r="D15" i="64" l="1"/>
  <c r="C17" i="64"/>
  <c r="C20" i="64" l="1"/>
  <c r="D16" i="64"/>
  <c r="D17" i="64" s="1"/>
  <c r="D20" i="64" l="1"/>
  <c r="D24" i="64" s="1"/>
  <c r="D25" i="64" s="1"/>
  <c r="D27" i="64"/>
  <c r="C16" i="63" l="1"/>
  <c r="D8" i="63" l="1"/>
  <c r="E5" i="63"/>
  <c r="C10" i="63" s="1"/>
  <c r="C15" i="63" l="1"/>
  <c r="C17" i="63" l="1"/>
  <c r="C20" i="63" l="1"/>
  <c r="D22" i="63" s="1"/>
  <c r="D23" i="63" s="1"/>
  <c r="D25" i="63"/>
  <c r="C15" i="58" l="1"/>
  <c r="E15" i="58"/>
  <c r="D15" i="58"/>
  <c r="C14" i="55" l="1"/>
  <c r="C14" i="54"/>
  <c r="C14" i="53"/>
  <c r="C25" i="52"/>
  <c r="C25" i="51"/>
  <c r="C14" i="51"/>
  <c r="C11" i="52" l="1"/>
  <c r="C11" i="53"/>
  <c r="C22" i="54"/>
  <c r="D22" i="55"/>
  <c r="D24" i="47" l="1"/>
  <c r="E24" i="47"/>
  <c r="F24" i="47"/>
  <c r="C24" i="47"/>
  <c r="D24" i="51"/>
  <c r="E24" i="51"/>
  <c r="C24" i="51"/>
  <c r="D13" i="51"/>
  <c r="E13" i="51"/>
  <c r="C13" i="51"/>
  <c r="D24" i="52"/>
  <c r="E24" i="52"/>
  <c r="F24" i="52"/>
  <c r="C24" i="52"/>
  <c r="D13" i="52"/>
  <c r="E13" i="52"/>
  <c r="F13" i="52"/>
  <c r="C13" i="52"/>
  <c r="D24" i="53"/>
  <c r="E24" i="53"/>
  <c r="C24" i="53"/>
  <c r="D13" i="53"/>
  <c r="E13" i="53"/>
  <c r="C13" i="53"/>
  <c r="C13" i="54"/>
  <c r="E24" i="54"/>
  <c r="D24" i="54"/>
  <c r="C24" i="54"/>
  <c r="D13" i="54"/>
  <c r="E13" i="54"/>
  <c r="D24" i="55"/>
  <c r="C25" i="55" s="1"/>
  <c r="C24" i="55"/>
  <c r="C11" i="55"/>
  <c r="C13" i="55"/>
  <c r="D13" i="55"/>
  <c r="E6" i="55"/>
  <c r="C15" i="61" l="1"/>
  <c r="F8" i="62" l="1"/>
  <c r="E5" i="62"/>
  <c r="D10" i="62" s="1"/>
  <c r="F8" i="61"/>
  <c r="E5" i="61"/>
  <c r="E10" i="61" s="1"/>
  <c r="D10" i="61" l="1"/>
  <c r="C10" i="61"/>
  <c r="E10" i="62"/>
  <c r="C10" i="62"/>
  <c r="C15" i="62" s="1"/>
  <c r="D16" i="62" s="1"/>
  <c r="E15" i="61"/>
  <c r="E16" i="61" s="1"/>
  <c r="F8" i="60"/>
  <c r="E5" i="60"/>
  <c r="C10" i="60" s="1"/>
  <c r="F8" i="59"/>
  <c r="E5" i="59"/>
  <c r="E10" i="59" s="1"/>
  <c r="F8" i="58"/>
  <c r="E5" i="58"/>
  <c r="F8" i="57"/>
  <c r="E5" i="57"/>
  <c r="C10" i="58" l="1"/>
  <c r="E10" i="58"/>
  <c r="D10" i="58"/>
  <c r="C10" i="57"/>
  <c r="C15" i="57" s="1"/>
  <c r="D10" i="57"/>
  <c r="D15" i="57" s="1"/>
  <c r="E10" i="57"/>
  <c r="E15" i="57" s="1"/>
  <c r="C16" i="62"/>
  <c r="D17" i="62" s="1"/>
  <c r="D20" i="62" s="1"/>
  <c r="E15" i="62"/>
  <c r="E16" i="62" s="1"/>
  <c r="E17" i="61"/>
  <c r="E20" i="61" s="1"/>
  <c r="D10" i="60"/>
  <c r="E10" i="60"/>
  <c r="C15" i="60"/>
  <c r="D15" i="60"/>
  <c r="D16" i="60" s="1"/>
  <c r="E15" i="59"/>
  <c r="E16" i="59" s="1"/>
  <c r="C10" i="59"/>
  <c r="D10" i="59"/>
  <c r="C17" i="57" l="1"/>
  <c r="E17" i="62"/>
  <c r="E20" i="62" s="1"/>
  <c r="C17" i="62"/>
  <c r="E15" i="60"/>
  <c r="E16" i="60" s="1"/>
  <c r="E17" i="60" s="1"/>
  <c r="E20" i="60" s="1"/>
  <c r="C16" i="60"/>
  <c r="C17" i="60" s="1"/>
  <c r="D17" i="60"/>
  <c r="D20" i="60" s="1"/>
  <c r="D15" i="59"/>
  <c r="C15" i="59"/>
  <c r="C16" i="59" s="1"/>
  <c r="E17" i="59"/>
  <c r="E20" i="59" s="1"/>
  <c r="D16" i="58"/>
  <c r="C16" i="58"/>
  <c r="E16" i="58"/>
  <c r="E17" i="58" s="1"/>
  <c r="E20" i="58" s="1"/>
  <c r="E17" i="57"/>
  <c r="E20" i="57" s="1"/>
  <c r="D17" i="57"/>
  <c r="D20" i="57" s="1"/>
  <c r="D29" i="62" l="1"/>
  <c r="C20" i="62"/>
  <c r="D26" i="62" s="1"/>
  <c r="D27" i="62" s="1"/>
  <c r="C20" i="60"/>
  <c r="D24" i="60" s="1"/>
  <c r="D25" i="60" s="1"/>
  <c r="D27" i="60"/>
  <c r="C17" i="59"/>
  <c r="D16" i="59"/>
  <c r="D17" i="59" s="1"/>
  <c r="D20" i="59" s="1"/>
  <c r="C17" i="58"/>
  <c r="D17" i="58"/>
  <c r="D20" i="58" s="1"/>
  <c r="D27" i="57"/>
  <c r="C20" i="57"/>
  <c r="D24" i="57" s="1"/>
  <c r="D25" i="57" s="1"/>
  <c r="D27" i="59" l="1"/>
  <c r="C20" i="59"/>
  <c r="D24" i="59" s="1"/>
  <c r="D25" i="59" s="1"/>
  <c r="D27" i="58"/>
  <c r="C20" i="58"/>
  <c r="D24" i="58" s="1"/>
  <c r="D25" i="58" s="1"/>
  <c r="E10" i="56" l="1"/>
  <c r="F8" i="56"/>
  <c r="E5" i="56"/>
  <c r="C10" i="56" s="1"/>
  <c r="D10" i="56" l="1"/>
  <c r="C15" i="56"/>
  <c r="D15" i="56"/>
  <c r="E15" i="56"/>
  <c r="E16" i="56" s="1"/>
  <c r="C16" i="56" l="1"/>
  <c r="C17" i="56" s="1"/>
  <c r="E17" i="56"/>
  <c r="E20" i="56" s="1"/>
  <c r="D16" i="56"/>
  <c r="D17" i="56" s="1"/>
  <c r="D20" i="56" s="1"/>
  <c r="C20" i="56" l="1"/>
  <c r="D24" i="56" s="1"/>
  <c r="D25" i="56" s="1"/>
  <c r="D27" i="56"/>
  <c r="D11" i="55" l="1"/>
  <c r="C22" i="55"/>
  <c r="C23" i="55" s="1"/>
  <c r="D22" i="54"/>
  <c r="E22" i="54"/>
  <c r="E11" i="53"/>
  <c r="D11" i="53"/>
  <c r="C22" i="52"/>
  <c r="C23" i="52" s="1"/>
  <c r="D11" i="51"/>
  <c r="C22" i="53"/>
  <c r="D22" i="53"/>
  <c r="E22" i="53"/>
  <c r="F22" i="52"/>
  <c r="D22" i="52"/>
  <c r="C23" i="51"/>
  <c r="E22" i="51"/>
  <c r="D22" i="51"/>
  <c r="C22" i="51"/>
  <c r="F22" i="47"/>
  <c r="E22" i="47"/>
  <c r="D22" i="47"/>
  <c r="C25" i="47" s="1"/>
  <c r="C11" i="54"/>
  <c r="E11" i="54"/>
  <c r="D11" i="54"/>
  <c r="D11" i="52"/>
  <c r="E11" i="52"/>
  <c r="F11" i="52"/>
  <c r="E11" i="51"/>
  <c r="C12" i="51"/>
  <c r="F11" i="47"/>
  <c r="C11" i="47"/>
  <c r="D11" i="47"/>
  <c r="D15" i="47" s="1"/>
  <c r="E11" i="47"/>
  <c r="C25" i="53" l="1"/>
  <c r="C25" i="54"/>
  <c r="C12" i="52"/>
  <c r="C14" i="52"/>
  <c r="C12" i="47"/>
  <c r="C12" i="53"/>
  <c r="C23" i="54"/>
  <c r="C23" i="53"/>
  <c r="C12" i="55"/>
  <c r="C12" i="54"/>
  <c r="E20" i="55"/>
  <c r="E9" i="55"/>
  <c r="D15" i="55"/>
  <c r="C15" i="55" l="1"/>
  <c r="D31" i="55"/>
  <c r="G20" i="54"/>
  <c r="E15" i="54"/>
  <c r="D15" i="54"/>
  <c r="C15" i="54"/>
  <c r="G9" i="54"/>
  <c r="E6" i="54"/>
  <c r="G20" i="53"/>
  <c r="E15" i="53"/>
  <c r="D15" i="53"/>
  <c r="C15" i="53"/>
  <c r="G9" i="53"/>
  <c r="E6" i="53"/>
  <c r="G20" i="52"/>
  <c r="F15" i="52"/>
  <c r="E15" i="52"/>
  <c r="D15" i="52"/>
  <c r="C15" i="52"/>
  <c r="G9" i="52"/>
  <c r="E6" i="52"/>
  <c r="G20" i="51"/>
  <c r="E15" i="51"/>
  <c r="D15" i="51"/>
  <c r="C15" i="51"/>
  <c r="G9" i="51"/>
  <c r="E6" i="51"/>
  <c r="C23" i="47" l="1"/>
  <c r="D17" i="55"/>
  <c r="D30" i="55"/>
  <c r="D31" i="54"/>
  <c r="D31" i="53"/>
  <c r="E6" i="47"/>
  <c r="G20" i="47"/>
  <c r="G12" i="49"/>
  <c r="G19" i="49" s="1"/>
  <c r="C13" i="47" l="1"/>
  <c r="E13" i="47"/>
  <c r="F13" i="47"/>
  <c r="D13" i="47"/>
  <c r="C17" i="55"/>
  <c r="D29" i="55"/>
  <c r="D34" i="55" s="1"/>
  <c r="D28" i="55"/>
  <c r="D32" i="55" s="1"/>
  <c r="D30" i="54"/>
  <c r="E17" i="54"/>
  <c r="D30" i="53"/>
  <c r="E17" i="53"/>
  <c r="E17" i="52"/>
  <c r="D31" i="52"/>
  <c r="F17" i="52"/>
  <c r="E17" i="51"/>
  <c r="D31" i="51"/>
  <c r="C14" i="47" l="1"/>
  <c r="D17" i="54"/>
  <c r="D17" i="53"/>
  <c r="D30" i="52"/>
  <c r="D17" i="52"/>
  <c r="D17" i="51"/>
  <c r="D30" i="51"/>
  <c r="D31" i="47"/>
  <c r="C17" i="54" l="1"/>
  <c r="D29" i="54"/>
  <c r="D34" i="54" s="1"/>
  <c r="D28" i="54"/>
  <c r="D32" i="54" s="1"/>
  <c r="D29" i="53"/>
  <c r="D34" i="53" s="1"/>
  <c r="D28" i="53"/>
  <c r="D32" i="53" s="1"/>
  <c r="C17" i="53"/>
  <c r="D29" i="52"/>
  <c r="D34" i="52" s="1"/>
  <c r="C17" i="52"/>
  <c r="D28" i="52"/>
  <c r="D32" i="52" s="1"/>
  <c r="D29" i="51"/>
  <c r="D34" i="51" s="1"/>
  <c r="C17" i="51"/>
  <c r="D28" i="51"/>
  <c r="D32" i="51" s="1"/>
  <c r="D30" i="47"/>
  <c r="G12" i="50" l="1"/>
  <c r="D19" i="50" s="1"/>
  <c r="G9" i="50"/>
  <c r="E5" i="50"/>
  <c r="D21" i="50" s="1"/>
  <c r="C18" i="49"/>
  <c r="C17" i="49"/>
  <c r="C14" i="49"/>
  <c r="C15" i="49" s="1"/>
  <c r="C19" i="49" s="1"/>
  <c r="G11" i="49"/>
  <c r="E5" i="49"/>
  <c r="C11" i="49" s="1"/>
  <c r="F15" i="47"/>
  <c r="E15" i="47"/>
  <c r="C15" i="47"/>
  <c r="G9" i="47"/>
  <c r="F18" i="46"/>
  <c r="E18" i="46"/>
  <c r="D18" i="46"/>
  <c r="C18" i="46"/>
  <c r="D10" i="46"/>
  <c r="G8" i="46"/>
  <c r="E5" i="46"/>
  <c r="E10" i="46" s="1"/>
  <c r="F10" i="46" l="1"/>
  <c r="C16" i="49"/>
  <c r="C20" i="49" s="1"/>
  <c r="C10" i="46"/>
  <c r="C15" i="46" s="1"/>
  <c r="C9" i="50"/>
  <c r="D20" i="50"/>
  <c r="C21" i="49"/>
  <c r="G21" i="49"/>
  <c r="D29" i="49" s="1"/>
  <c r="E15" i="46"/>
  <c r="F15" i="46"/>
  <c r="D15" i="46"/>
  <c r="G19" i="45"/>
  <c r="G12" i="45"/>
  <c r="C12" i="50" l="1"/>
  <c r="C13" i="50" s="1"/>
  <c r="D28" i="49"/>
  <c r="C22" i="49"/>
  <c r="D27" i="49" s="1"/>
  <c r="D33" i="49" s="1"/>
  <c r="E17" i="47"/>
  <c r="F17" i="47"/>
  <c r="D17" i="47"/>
  <c r="E16" i="46"/>
  <c r="E17" i="46" s="1"/>
  <c r="E20" i="46" s="1"/>
  <c r="C16" i="46"/>
  <c r="C17" i="46" s="1"/>
  <c r="F16" i="46"/>
  <c r="F17" i="46" s="1"/>
  <c r="F20" i="46" s="1"/>
  <c r="D16" i="46"/>
  <c r="D17" i="46" s="1"/>
  <c r="D20" i="46" s="1"/>
  <c r="C17" i="47" l="1"/>
  <c r="D28" i="47"/>
  <c r="D32" i="47" s="1"/>
  <c r="D29" i="47"/>
  <c r="D34" i="47" s="1"/>
  <c r="D18" i="50"/>
  <c r="D23" i="50" s="1"/>
  <c r="D17" i="50"/>
  <c r="D26" i="49"/>
  <c r="D30" i="49" s="1"/>
  <c r="D31" i="49"/>
  <c r="D30" i="46"/>
  <c r="C20" i="46"/>
  <c r="D27" i="46" s="1"/>
  <c r="D28" i="46" s="1"/>
  <c r="G12" i="41"/>
  <c r="D19" i="41" s="1"/>
  <c r="G9" i="41"/>
  <c r="E5" i="41"/>
  <c r="C9" i="41" s="1"/>
  <c r="C18" i="45"/>
  <c r="C17" i="45"/>
  <c r="C14" i="45"/>
  <c r="C15" i="45" s="1"/>
  <c r="C19" i="45" s="1"/>
  <c r="G11" i="45"/>
  <c r="E5" i="45"/>
  <c r="C11" i="45" s="1"/>
  <c r="G12" i="44"/>
  <c r="D20" i="44" s="1"/>
  <c r="G9" i="44"/>
  <c r="E5" i="44"/>
  <c r="C9" i="44" s="1"/>
  <c r="C18" i="43"/>
  <c r="C17" i="43"/>
  <c r="C14" i="43"/>
  <c r="C15" i="43" s="1"/>
  <c r="C19" i="43" s="1"/>
  <c r="G12" i="43"/>
  <c r="G19" i="43" s="1"/>
  <c r="G11" i="43"/>
  <c r="E5" i="43"/>
  <c r="C11" i="43" s="1"/>
  <c r="G12" i="42"/>
  <c r="D20" i="42" s="1"/>
  <c r="G9" i="42"/>
  <c r="E5" i="42"/>
  <c r="C9" i="42" s="1"/>
  <c r="G12" i="40"/>
  <c r="D20" i="40" s="1"/>
  <c r="G9" i="40"/>
  <c r="C16" i="43" l="1"/>
  <c r="C20" i="43" s="1"/>
  <c r="C12" i="41"/>
  <c r="C13" i="41" s="1"/>
  <c r="D20" i="41"/>
  <c r="C16" i="45"/>
  <c r="C20" i="45" s="1"/>
  <c r="C21" i="45"/>
  <c r="G21" i="45"/>
  <c r="D29" i="45" s="1"/>
  <c r="C12" i="44"/>
  <c r="D19" i="44"/>
  <c r="C21" i="43"/>
  <c r="C22" i="43" s="1"/>
  <c r="G21" i="43"/>
  <c r="D29" i="43" s="1"/>
  <c r="C12" i="42"/>
  <c r="D19" i="42"/>
  <c r="D19" i="40"/>
  <c r="D17" i="41" l="1"/>
  <c r="D18" i="41"/>
  <c r="D24" i="41" s="1"/>
  <c r="D28" i="45"/>
  <c r="C22" i="45"/>
  <c r="D27" i="45" s="1"/>
  <c r="D33" i="45" s="1"/>
  <c r="C13" i="44"/>
  <c r="D18" i="44" s="1"/>
  <c r="D23" i="44" s="1"/>
  <c r="D28" i="43"/>
  <c r="D27" i="43"/>
  <c r="D33" i="43" s="1"/>
  <c r="D26" i="43"/>
  <c r="C13" i="42"/>
  <c r="D18" i="42" s="1"/>
  <c r="D23" i="42" s="1"/>
  <c r="D22" i="41" l="1"/>
  <c r="D21" i="41"/>
  <c r="D26" i="45"/>
  <c r="D17" i="44"/>
  <c r="D21" i="44" s="1"/>
  <c r="D31" i="43"/>
  <c r="D30" i="43"/>
  <c r="D17" i="42"/>
  <c r="D21" i="42" s="1"/>
  <c r="D30" i="45" l="1"/>
  <c r="D31" i="45"/>
  <c r="E5" i="40" l="1"/>
  <c r="D21" i="40" s="1"/>
  <c r="C9" i="40" l="1"/>
  <c r="E5" i="38"/>
  <c r="E5" i="37"/>
  <c r="E5" i="33"/>
  <c r="E5" i="34"/>
  <c r="E5" i="26"/>
  <c r="E5" i="22"/>
  <c r="E5" i="5"/>
  <c r="E5" i="2"/>
  <c r="E5" i="27"/>
  <c r="F5" i="18"/>
  <c r="H8" i="18"/>
  <c r="C12" i="40" l="1"/>
  <c r="C13" i="40" s="1"/>
  <c r="D17" i="40" l="1"/>
  <c r="F9" i="21"/>
  <c r="D18" i="40" l="1"/>
  <c r="D23" i="40" s="1"/>
  <c r="C18" i="36"/>
  <c r="D18" i="36"/>
  <c r="E18" i="19" l="1"/>
  <c r="D18" i="19"/>
  <c r="C18" i="19"/>
  <c r="E18" i="30"/>
  <c r="D18" i="30"/>
  <c r="C18" i="30"/>
  <c r="F18" i="13"/>
  <c r="E18" i="13"/>
  <c r="D18" i="13"/>
  <c r="C18" i="13"/>
  <c r="E19" i="21"/>
  <c r="D19" i="21"/>
  <c r="C19" i="21"/>
  <c r="C18" i="38" l="1"/>
  <c r="D8" i="38"/>
  <c r="C10" i="38"/>
  <c r="D8" i="37"/>
  <c r="C18" i="37"/>
  <c r="C10" i="37"/>
  <c r="C15" i="37" s="1"/>
  <c r="E18" i="33"/>
  <c r="D18" i="33"/>
  <c r="C18" i="33"/>
  <c r="E18" i="34"/>
  <c r="D18" i="34"/>
  <c r="C18" i="34"/>
  <c r="E18" i="26"/>
  <c r="D18" i="26"/>
  <c r="C18" i="26"/>
  <c r="D18" i="22"/>
  <c r="C18" i="22"/>
  <c r="C18" i="5"/>
  <c r="D18" i="5"/>
  <c r="E18" i="5"/>
  <c r="F18" i="5"/>
  <c r="E18" i="2"/>
  <c r="D18" i="2"/>
  <c r="C18" i="2"/>
  <c r="C15" i="38" l="1"/>
  <c r="C16" i="37"/>
  <c r="C17" i="37" s="1"/>
  <c r="F18" i="27"/>
  <c r="E18" i="27"/>
  <c r="D18" i="27"/>
  <c r="C18" i="27"/>
  <c r="E18" i="10"/>
  <c r="D18" i="10"/>
  <c r="C18" i="10"/>
  <c r="D18" i="16"/>
  <c r="C18" i="16"/>
  <c r="C16" i="38" l="1"/>
  <c r="C17" i="38" s="1"/>
  <c r="C20" i="38" s="1"/>
  <c r="C20" i="37"/>
  <c r="D22" i="37" s="1"/>
  <c r="D23" i="37" s="1"/>
  <c r="D25" i="37"/>
  <c r="G18" i="18"/>
  <c r="F18" i="18"/>
  <c r="E18" i="18"/>
  <c r="D18" i="18"/>
  <c r="C18" i="18"/>
  <c r="F18" i="7"/>
  <c r="E18" i="7"/>
  <c r="D18" i="7"/>
  <c r="C18" i="7"/>
  <c r="D22" i="38" l="1"/>
  <c r="D23" i="38" s="1"/>
  <c r="D25" i="38"/>
  <c r="E18" i="20"/>
  <c r="D18" i="20"/>
  <c r="C18" i="20"/>
  <c r="D18" i="6"/>
  <c r="C18" i="6"/>
  <c r="C9" i="22" l="1"/>
  <c r="E8" i="36" l="1"/>
  <c r="E5" i="36"/>
  <c r="C10" i="36" s="1"/>
  <c r="C15" i="36" s="1"/>
  <c r="C16" i="36" l="1"/>
  <c r="D10" i="36"/>
  <c r="F8" i="34"/>
  <c r="E10" i="34"/>
  <c r="E15" i="34" s="1"/>
  <c r="E16" i="34" s="1"/>
  <c r="E17" i="34" s="1"/>
  <c r="E20" i="34" s="1"/>
  <c r="D15" i="36" l="1"/>
  <c r="C17" i="36"/>
  <c r="C10" i="34"/>
  <c r="C15" i="34" s="1"/>
  <c r="D10" i="34"/>
  <c r="D15" i="34" s="1"/>
  <c r="D16" i="34" s="1"/>
  <c r="D17" i="34" s="1"/>
  <c r="D20" i="34" s="1"/>
  <c r="F8" i="33"/>
  <c r="C10" i="33"/>
  <c r="C15" i="33" s="1"/>
  <c r="C16" i="33" l="1"/>
  <c r="C17" i="33" s="1"/>
  <c r="C16" i="34"/>
  <c r="C17" i="34" s="1"/>
  <c r="D16" i="36"/>
  <c r="D17" i="36" s="1"/>
  <c r="C20" i="36"/>
  <c r="D10" i="33"/>
  <c r="D15" i="33" s="1"/>
  <c r="D16" i="33" s="1"/>
  <c r="D17" i="33" s="1"/>
  <c r="D20" i="33" s="1"/>
  <c r="E10" i="33"/>
  <c r="C20" i="33" l="1"/>
  <c r="E15" i="33"/>
  <c r="E16" i="33" s="1"/>
  <c r="E17" i="33" s="1"/>
  <c r="C20" i="34"/>
  <c r="D24" i="34" s="1"/>
  <c r="D25" i="34" s="1"/>
  <c r="D27" i="34"/>
  <c r="D20" i="36"/>
  <c r="D24" i="36" s="1"/>
  <c r="D25" i="36" s="1"/>
  <c r="D27" i="36"/>
  <c r="F8" i="30"/>
  <c r="E5" i="30"/>
  <c r="E20" i="33" l="1"/>
  <c r="D24" i="33" s="1"/>
  <c r="D25" i="33" s="1"/>
  <c r="D27" i="33"/>
  <c r="D10" i="30"/>
  <c r="D15" i="30" s="1"/>
  <c r="C10" i="30"/>
  <c r="C15" i="30" s="1"/>
  <c r="E10" i="30"/>
  <c r="E15" i="30" s="1"/>
  <c r="E6" i="21"/>
  <c r="G8" i="27"/>
  <c r="F10" i="27"/>
  <c r="F8" i="26"/>
  <c r="D10" i="26"/>
  <c r="D15" i="26" s="1"/>
  <c r="D16" i="26" s="1"/>
  <c r="D17" i="26" s="1"/>
  <c r="D20" i="26" s="1"/>
  <c r="E8" i="22"/>
  <c r="D10" i="22"/>
  <c r="D10" i="18"/>
  <c r="E5" i="20"/>
  <c r="C10" i="20" s="1"/>
  <c r="F8" i="20"/>
  <c r="F8" i="6"/>
  <c r="E5" i="6"/>
  <c r="D10" i="6" s="1"/>
  <c r="E8" i="16"/>
  <c r="E5" i="7"/>
  <c r="E10" i="7" s="1"/>
  <c r="E15" i="7" s="1"/>
  <c r="E16" i="7" s="1"/>
  <c r="E17" i="7" s="1"/>
  <c r="E20" i="7" s="1"/>
  <c r="E5" i="19"/>
  <c r="F8" i="19"/>
  <c r="E10" i="5"/>
  <c r="G8" i="5"/>
  <c r="E10" i="2"/>
  <c r="F8" i="2"/>
  <c r="E5" i="13"/>
  <c r="E5" i="10"/>
  <c r="E10" i="10" s="1"/>
  <c r="F8" i="10"/>
  <c r="E5" i="16"/>
  <c r="C10" i="16" s="1"/>
  <c r="G8" i="7"/>
  <c r="G8" i="13"/>
  <c r="C10" i="22" l="1"/>
  <c r="C15" i="22" s="1"/>
  <c r="C16" i="22" s="1"/>
  <c r="C17" i="22" s="1"/>
  <c r="D15" i="22"/>
  <c r="D16" i="22" s="1"/>
  <c r="D17" i="22" s="1"/>
  <c r="D20" i="22" s="1"/>
  <c r="E15" i="5"/>
  <c r="E16" i="5" s="1"/>
  <c r="E17" i="5" s="1"/>
  <c r="E20" i="5" s="1"/>
  <c r="E15" i="2"/>
  <c r="E16" i="2" s="1"/>
  <c r="E17" i="2" s="1"/>
  <c r="E20" i="2" s="1"/>
  <c r="F15" i="27"/>
  <c r="F16" i="27" s="1"/>
  <c r="F17" i="27" s="1"/>
  <c r="F20" i="27" s="1"/>
  <c r="E15" i="10"/>
  <c r="E16" i="10" s="1"/>
  <c r="E17" i="10" s="1"/>
  <c r="E20" i="10" s="1"/>
  <c r="C15" i="16"/>
  <c r="C16" i="16" s="1"/>
  <c r="C17" i="16" s="1"/>
  <c r="G10" i="18"/>
  <c r="G15" i="18" s="1"/>
  <c r="C10" i="18"/>
  <c r="D15" i="18"/>
  <c r="D16" i="18" s="1"/>
  <c r="C15" i="20"/>
  <c r="C16" i="20" s="1"/>
  <c r="C17" i="20" s="1"/>
  <c r="D15" i="6"/>
  <c r="E11" i="21"/>
  <c r="D11" i="21"/>
  <c r="C11" i="21"/>
  <c r="F10" i="13"/>
  <c r="F15" i="13" s="1"/>
  <c r="F16" i="13" s="1"/>
  <c r="C10" i="13"/>
  <c r="C15" i="13" s="1"/>
  <c r="D10" i="13"/>
  <c r="D15" i="13" s="1"/>
  <c r="E10" i="13"/>
  <c r="E15" i="13" s="1"/>
  <c r="E16" i="30"/>
  <c r="E17" i="30" s="1"/>
  <c r="E20" i="30" s="1"/>
  <c r="D16" i="30"/>
  <c r="D17" i="30" s="1"/>
  <c r="D20" i="30" s="1"/>
  <c r="C16" i="30"/>
  <c r="E10" i="19"/>
  <c r="D10" i="19"/>
  <c r="D15" i="19" s="1"/>
  <c r="D16" i="19" s="1"/>
  <c r="C10" i="19"/>
  <c r="E10" i="6"/>
  <c r="C10" i="6"/>
  <c r="D10" i="16"/>
  <c r="C10" i="26"/>
  <c r="C15" i="26" s="1"/>
  <c r="E10" i="26"/>
  <c r="F10" i="5"/>
  <c r="D10" i="5"/>
  <c r="D15" i="5" s="1"/>
  <c r="D16" i="5" s="1"/>
  <c r="D17" i="5" s="1"/>
  <c r="D20" i="5" s="1"/>
  <c r="C10" i="5"/>
  <c r="C15" i="5" s="1"/>
  <c r="C16" i="5" s="1"/>
  <c r="C17" i="5" s="1"/>
  <c r="C10" i="2"/>
  <c r="C15" i="2" s="1"/>
  <c r="C16" i="2" s="1"/>
  <c r="D10" i="2"/>
  <c r="D15" i="2" s="1"/>
  <c r="D16" i="2" s="1"/>
  <c r="D17" i="2" s="1"/>
  <c r="D20" i="2" s="1"/>
  <c r="C10" i="27"/>
  <c r="E10" i="27"/>
  <c r="E15" i="27" s="1"/>
  <c r="E16" i="27" s="1"/>
  <c r="E17" i="27" s="1"/>
  <c r="E20" i="27" s="1"/>
  <c r="D10" i="27"/>
  <c r="D15" i="27" s="1"/>
  <c r="D16" i="27" s="1"/>
  <c r="D17" i="27" s="1"/>
  <c r="D20" i="27" s="1"/>
  <c r="F10" i="18"/>
  <c r="E10" i="18"/>
  <c r="F10" i="7"/>
  <c r="C10" i="7"/>
  <c r="D10" i="7"/>
  <c r="D15" i="7" s="1"/>
  <c r="D16" i="7" s="1"/>
  <c r="D17" i="7" s="1"/>
  <c r="D20" i="7" s="1"/>
  <c r="D10" i="10"/>
  <c r="C10" i="10"/>
  <c r="D10" i="20"/>
  <c r="D15" i="20" s="1"/>
  <c r="D16" i="20" s="1"/>
  <c r="D17" i="20" s="1"/>
  <c r="D20" i="20" s="1"/>
  <c r="E10" i="20"/>
  <c r="E15" i="20" s="1"/>
  <c r="E16" i="20" s="1"/>
  <c r="E17" i="20" s="1"/>
  <c r="E20" i="20" s="1"/>
  <c r="C17" i="2" l="1"/>
  <c r="D29" i="2" s="1"/>
  <c r="C16" i="26"/>
  <c r="C17" i="26" s="1"/>
  <c r="E15" i="26"/>
  <c r="E16" i="26" s="1"/>
  <c r="E17" i="26" s="1"/>
  <c r="E20" i="26" s="1"/>
  <c r="C20" i="22"/>
  <c r="D24" i="22" s="1"/>
  <c r="D25" i="22" s="1"/>
  <c r="D27" i="22"/>
  <c r="C20" i="5"/>
  <c r="F15" i="5"/>
  <c r="F16" i="5" s="1"/>
  <c r="F17" i="5" s="1"/>
  <c r="F20" i="5" s="1"/>
  <c r="C15" i="27"/>
  <c r="C16" i="27" s="1"/>
  <c r="C17" i="27" s="1"/>
  <c r="D15" i="10"/>
  <c r="D16" i="10" s="1"/>
  <c r="D17" i="10" s="1"/>
  <c r="D20" i="10" s="1"/>
  <c r="C15" i="10"/>
  <c r="C16" i="10" s="1"/>
  <c r="C17" i="10" s="1"/>
  <c r="C20" i="16"/>
  <c r="D15" i="16"/>
  <c r="D16" i="16" s="1"/>
  <c r="D17" i="16" s="1"/>
  <c r="D20" i="16" s="1"/>
  <c r="F15" i="18"/>
  <c r="F16" i="18" s="1"/>
  <c r="F17" i="18" s="1"/>
  <c r="F20" i="18" s="1"/>
  <c r="E15" i="18"/>
  <c r="E16" i="18" s="1"/>
  <c r="E17" i="18" s="1"/>
  <c r="E20" i="18" s="1"/>
  <c r="D17" i="18"/>
  <c r="D20" i="18" s="1"/>
  <c r="C15" i="18"/>
  <c r="C16" i="18" s="1"/>
  <c r="G16" i="18"/>
  <c r="G17" i="18" s="1"/>
  <c r="G20" i="18" s="1"/>
  <c r="C15" i="7"/>
  <c r="C16" i="7" s="1"/>
  <c r="C17" i="7" s="1"/>
  <c r="F15" i="7"/>
  <c r="F16" i="7" s="1"/>
  <c r="F17" i="7" s="1"/>
  <c r="F20" i="7" s="1"/>
  <c r="C20" i="20"/>
  <c r="D24" i="20" s="1"/>
  <c r="D25" i="20" s="1"/>
  <c r="D27" i="20"/>
  <c r="C15" i="6"/>
  <c r="E15" i="6"/>
  <c r="D16" i="6"/>
  <c r="D17" i="6" s="1"/>
  <c r="D20" i="6" s="1"/>
  <c r="C16" i="21"/>
  <c r="D16" i="21"/>
  <c r="D17" i="21" s="1"/>
  <c r="E16" i="21"/>
  <c r="E17" i="21" s="1"/>
  <c r="E16" i="13"/>
  <c r="E17" i="13" s="1"/>
  <c r="E20" i="13" s="1"/>
  <c r="D16" i="13"/>
  <c r="D17" i="13" s="1"/>
  <c r="D20" i="13" s="1"/>
  <c r="C16" i="13"/>
  <c r="C17" i="13" s="1"/>
  <c r="F17" i="13"/>
  <c r="F20" i="13" s="1"/>
  <c r="C17" i="30"/>
  <c r="D27" i="30" s="1"/>
  <c r="D17" i="19"/>
  <c r="D20" i="19" s="1"/>
  <c r="C15" i="19"/>
  <c r="C16" i="19" s="1"/>
  <c r="E15" i="19"/>
  <c r="E16" i="19" s="1"/>
  <c r="E17" i="19" s="1"/>
  <c r="E20" i="19" s="1"/>
  <c r="D27" i="5" l="1"/>
  <c r="D28" i="5" s="1"/>
  <c r="D30" i="5"/>
  <c r="C20" i="2"/>
  <c r="D26" i="2" s="1"/>
  <c r="D27" i="2" s="1"/>
  <c r="D27" i="10"/>
  <c r="D27" i="26"/>
  <c r="C20" i="26"/>
  <c r="D24" i="26" s="1"/>
  <c r="D25" i="26" s="1"/>
  <c r="C20" i="27"/>
  <c r="D24" i="27" s="1"/>
  <c r="D25" i="27" s="1"/>
  <c r="D27" i="27"/>
  <c r="C20" i="10"/>
  <c r="D24" i="16"/>
  <c r="D25" i="16" s="1"/>
  <c r="D27" i="16"/>
  <c r="D27" i="7"/>
  <c r="C17" i="18"/>
  <c r="C20" i="7"/>
  <c r="D24" i="7" s="1"/>
  <c r="D25" i="7" s="1"/>
  <c r="E16" i="6"/>
  <c r="E17" i="6" s="1"/>
  <c r="E20" i="6" s="1"/>
  <c r="C16" i="6"/>
  <c r="C17" i="6" s="1"/>
  <c r="E18" i="21"/>
  <c r="E21" i="21" s="1"/>
  <c r="D18" i="21"/>
  <c r="D21" i="21" s="1"/>
  <c r="C17" i="21"/>
  <c r="C17" i="19"/>
  <c r="D27" i="19" s="1"/>
  <c r="C20" i="13"/>
  <c r="D24" i="13" s="1"/>
  <c r="D25" i="13" s="1"/>
  <c r="D27" i="13"/>
  <c r="C20" i="30"/>
  <c r="D24" i="30" s="1"/>
  <c r="D25" i="30" s="1"/>
  <c r="D24" i="10" l="1"/>
  <c r="D25" i="10" s="1"/>
  <c r="C20" i="18"/>
  <c r="D24" i="18" s="1"/>
  <c r="D25" i="18" s="1"/>
  <c r="D27" i="18"/>
  <c r="D27" i="6"/>
  <c r="C20" i="6"/>
  <c r="D24" i="6" s="1"/>
  <c r="D25" i="6" s="1"/>
  <c r="B22" i="21"/>
  <c r="B23" i="21" s="1"/>
  <c r="C18" i="21"/>
  <c r="C20" i="19"/>
  <c r="C21" i="21" l="1"/>
  <c r="D27" i="21" s="1"/>
  <c r="D28" i="21" s="1"/>
  <c r="D24" i="19"/>
  <c r="D25" i="19" s="1"/>
  <c r="D30" i="21"/>
  <c r="D16" i="61" l="1"/>
  <c r="C16" i="61"/>
  <c r="C17" i="61" s="1"/>
  <c r="C20" i="61" l="1"/>
  <c r="D17" i="61"/>
  <c r="D20" i="61" s="1"/>
  <c r="D26" i="61" l="1"/>
  <c r="D27" i="61" s="1"/>
  <c r="D29" i="61"/>
</calcChain>
</file>

<file path=xl/sharedStrings.xml><?xml version="1.0" encoding="utf-8"?>
<sst xmlns="http://schemas.openxmlformats.org/spreadsheetml/2006/main" count="1943" uniqueCount="314">
  <si>
    <t>PRODUCT</t>
  </si>
  <si>
    <t>PCS REQ'D</t>
  </si>
  <si>
    <t xml:space="preserve">Mason will require approximately </t>
  </si>
  <si>
    <t>lbs.</t>
  </si>
  <si>
    <t>70lb. (30kg) bags of mortar mix**.</t>
  </si>
  <si>
    <t xml:space="preserve">Enter total WALL AREA* (SQFT): </t>
  </si>
  <si>
    <t>Basic Arriscraft.CARE</t>
  </si>
  <si>
    <t>^ Internet connection required.</t>
  </si>
  <si>
    <t>** Rough estimate only.  Will vary with sand, mortar composition, waste, joint finish and workmanship.</t>
  </si>
  <si>
    <t>1.800.265.8123</t>
  </si>
  <si>
    <t>www.arriscraft.com</t>
  </si>
  <si>
    <t>BOND</t>
  </si>
  <si>
    <r>
      <t>Mason will require approximately</t>
    </r>
    <r>
      <rPr>
        <sz val="8"/>
        <rFont val="Arial"/>
        <family val="2"/>
      </rPr>
      <t xml:space="preserve"> </t>
    </r>
  </si>
  <si>
    <t>Enter waste allowance (%):</t>
  </si>
  <si>
    <t>Description</t>
  </si>
  <si>
    <t>Name</t>
  </si>
  <si>
    <t>Project Notes:</t>
  </si>
  <si>
    <t>square feet of Laurier Building Stone.</t>
  </si>
  <si>
    <t>square feet of Cumberland Building Stone.</t>
  </si>
  <si>
    <t>CIT23</t>
  </si>
  <si>
    <t>CIT36</t>
  </si>
  <si>
    <t>CIT52</t>
  </si>
  <si>
    <t>CIT81</t>
  </si>
  <si>
    <t>GC23</t>
  </si>
  <si>
    <t>GC35</t>
  </si>
  <si>
    <t>GC52</t>
  </si>
  <si>
    <t>GC81</t>
  </si>
  <si>
    <t>CUM35</t>
  </si>
  <si>
    <t>CUM75</t>
  </si>
  <si>
    <t>CUM115</t>
  </si>
  <si>
    <t>SHA22</t>
  </si>
  <si>
    <t>SHA50</t>
  </si>
  <si>
    <t>SHA75</t>
  </si>
  <si>
    <t>LAU23</t>
  </si>
  <si>
    <t>LAU52</t>
  </si>
  <si>
    <t>LAU81</t>
  </si>
  <si>
    <t>LAU11</t>
  </si>
  <si>
    <t>Enter percentage of OC21 with BROWN highlight^^:</t>
  </si>
  <si>
    <t>OC21</t>
  </si>
  <si>
    <t>OC34</t>
  </si>
  <si>
    <t>OC46</t>
  </si>
  <si>
    <t>square feet of Old Country Building Stone.</t>
  </si>
  <si>
    <t>Edge Rock</t>
  </si>
  <si>
    <t>EDG50</t>
  </si>
  <si>
    <t>EDG102</t>
  </si>
  <si>
    <t>square feet of Edge Rock Building Stone.</t>
  </si>
  <si>
    <t>FRE23</t>
  </si>
  <si>
    <t>FRE52</t>
  </si>
  <si>
    <t>FRE81</t>
  </si>
  <si>
    <t>square feet of Fresco Building Stone.</t>
  </si>
  <si>
    <t>Please consult with your Arriscraft Sales Representative.</t>
  </si>
  <si>
    <t>square feet of Urban Ledgestone.</t>
  </si>
  <si>
    <t>UL22</t>
  </si>
  <si>
    <t>UL35</t>
  </si>
  <si>
    <t>UL50</t>
  </si>
  <si>
    <t>Mason's Instructions - English</t>
  </si>
  <si>
    <t>Links to Additional Information:</t>
  </si>
  <si>
    <t>ThinClad.CARE</t>
  </si>
  <si>
    <t>Mason's Instructions - Spanish</t>
  </si>
  <si>
    <t>Cuidado Basico de Arriscraft</t>
  </si>
  <si>
    <t>Matterhorn</t>
  </si>
  <si>
    <t>MAT50</t>
  </si>
  <si>
    <t>MAT102</t>
  </si>
  <si>
    <t>/ti</t>
  </si>
  <si>
    <t>Row1</t>
  </si>
  <si>
    <t>Row2</t>
  </si>
  <si>
    <t># PCS</t>
  </si>
  <si>
    <t>AREA / PC</t>
  </si>
  <si>
    <t>PCS / SKID</t>
  </si>
  <si>
    <t># SKIDS</t>
  </si>
  <si>
    <t>WEIGHT / PC</t>
  </si>
  <si>
    <t>WEIGHT / SKID</t>
  </si>
  <si>
    <t>ACTUAL SQFT</t>
  </si>
  <si>
    <t>total rows of OC21 Base Color</t>
  </si>
  <si>
    <t>total rows of OC21 BROWN</t>
  </si>
  <si>
    <t>square feet of Matterhorn Building Stone.</t>
  </si>
  <si>
    <t>WEIGHT / PKG</t>
  </si>
  <si>
    <t>Enter total ext vertical corners (ft):</t>
  </si>
  <si>
    <t>Contemporary Brick</t>
  </si>
  <si>
    <t>CON31</t>
  </si>
  <si>
    <t>TVB31</t>
  </si>
  <si>
    <t>Tumbled Vintage Brick</t>
  </si>
  <si>
    <t>square feet of Tumbled Vintage Brick.</t>
  </si>
  <si>
    <t>square feet of Contemporary Brick</t>
  </si>
  <si>
    <t>PCS / LAYER</t>
  </si>
  <si>
    <t># LAYERS</t>
  </si>
  <si>
    <t>Total (sqft):</t>
  </si>
  <si>
    <t>Enter total WALL AREA* (SQFT):</t>
  </si>
  <si>
    <r>
      <rPr>
        <b/>
        <sz val="10"/>
        <rFont val="Arial Narrow"/>
        <family val="2"/>
      </rPr>
      <t xml:space="preserve">Note: </t>
    </r>
    <r>
      <rPr>
        <sz val="10"/>
        <rFont val="Arial Narrow"/>
        <family val="2"/>
      </rPr>
      <t>If Building Stone products are to be ordered outside of their standard bond ratios, special pricing may apply.</t>
    </r>
  </si>
  <si>
    <r>
      <t>Note:</t>
    </r>
    <r>
      <rPr>
        <sz val="10"/>
        <rFont val="Arial Narrow"/>
        <family val="2"/>
      </rPr>
      <t xml:space="preserve"> If Building Stone products are to be ordered outside of their standard bond ratios, special pricing may apply.</t>
    </r>
  </si>
  <si>
    <r>
      <rPr>
        <b/>
        <sz val="9"/>
        <rFont val="Arial Narrow"/>
        <family val="2"/>
      </rPr>
      <t xml:space="preserve">NOTE: </t>
    </r>
    <r>
      <rPr>
        <sz val="9"/>
        <rFont val="Arial Narrow"/>
        <family val="2"/>
      </rPr>
      <t>One PC is based on a 23-5/8" length and may be comprised of 2 or more individual stones.</t>
    </r>
  </si>
  <si>
    <r>
      <t xml:space="preserve">NOTE: </t>
    </r>
    <r>
      <rPr>
        <sz val="9"/>
        <rFont val="Arial Narrow"/>
        <family val="2"/>
      </rPr>
      <t>One PC is based on a 23-5/8" length and may be comprised of 2 or more individual stones.</t>
    </r>
  </si>
  <si>
    <r>
      <rPr>
        <b/>
        <sz val="10"/>
        <rFont val="Arial Narrow"/>
        <family val="2"/>
      </rPr>
      <t xml:space="preserve">Note: </t>
    </r>
    <r>
      <rPr>
        <sz val="10"/>
        <rFont val="Arial Narrow"/>
        <family val="2"/>
      </rPr>
      <t>15 rows make up 1 skid of OC21</t>
    </r>
  </si>
  <si>
    <t>This combination of skids is equivalent to</t>
  </si>
  <si>
    <r>
      <t>square feet of Citadel</t>
    </r>
    <r>
      <rPr>
        <vertAlign val="superscript"/>
        <sz val="10"/>
        <color theme="0"/>
        <rFont val="Arial"/>
        <family val="2"/>
      </rPr>
      <t>®</t>
    </r>
    <r>
      <rPr>
        <sz val="10"/>
        <color theme="0"/>
        <rFont val="Arial"/>
        <family val="2"/>
      </rPr>
      <t xml:space="preserve"> Building Stone.</t>
    </r>
  </si>
  <si>
    <t>Mason will require approximately</t>
  </si>
  <si>
    <t>The total weight for this order is</t>
  </si>
  <si>
    <r>
      <t>The total weight for this order is</t>
    </r>
    <r>
      <rPr>
        <b/>
        <sz val="10"/>
        <rFont val="Arial"/>
        <family val="2"/>
      </rPr>
      <t xml:space="preserve"> </t>
    </r>
  </si>
  <si>
    <t>This quantity of boxes is equivalent to</t>
  </si>
  <si>
    <t>CORNERS</t>
  </si>
  <si>
    <t>FLATS</t>
  </si>
  <si>
    <t>SQFT REQ'D</t>
  </si>
  <si>
    <t>The total weight for the flats is</t>
  </si>
  <si>
    <t>The total weight for the corners is</t>
  </si>
  <si>
    <r>
      <t>square feet of Shadow Stone</t>
    </r>
    <r>
      <rPr>
        <vertAlign val="superscript"/>
        <sz val="10"/>
        <color theme="0"/>
        <rFont val="Arial"/>
        <family val="2"/>
      </rPr>
      <t>®</t>
    </r>
    <r>
      <rPr>
        <sz val="10"/>
        <color theme="0"/>
        <rFont val="Arial"/>
        <family val="2"/>
      </rPr>
      <t xml:space="preserve"> Building Stone.</t>
    </r>
  </si>
  <si>
    <r>
      <t xml:space="preserve">Note: </t>
    </r>
    <r>
      <rPr>
        <i/>
        <sz val="10"/>
        <rFont val="Arial Narrow"/>
        <family val="2"/>
      </rPr>
      <t xml:space="preserve">Mosaic Blend </t>
    </r>
    <r>
      <rPr>
        <sz val="10"/>
        <rFont val="Arial Narrow"/>
        <family val="2"/>
      </rPr>
      <t>includes LAU11 Ivory White.</t>
    </r>
  </si>
  <si>
    <t>Pierre de Construction Urbaine</t>
  </si>
  <si>
    <t>^^ If the customer has selected the BROWN highlight, the standard blend has 40% of the OC21 as BROWN.  These skids must be ordered separately from the base color.</t>
  </si>
  <si>
    <t># PKGS</t>
  </si>
  <si>
    <t>COVERAGE</t>
  </si>
  <si>
    <t>5 LF BOX</t>
  </si>
  <si>
    <t>COVERAGE (BOX)</t>
  </si>
  <si>
    <t>COVERAGE (SKID)</t>
  </si>
  <si>
    <t># BOXES</t>
  </si>
  <si>
    <t>WEIGHT / BOX</t>
  </si>
  <si>
    <t>This combination of flats is equivalent to</t>
  </si>
  <si>
    <t>CU3</t>
  </si>
  <si>
    <t>GC3</t>
  </si>
  <si>
    <t>GC4</t>
  </si>
  <si>
    <t>OC3</t>
  </si>
  <si>
    <t>MH2</t>
  </si>
  <si>
    <t>Cumberland</t>
  </si>
  <si>
    <t>Old Country</t>
  </si>
  <si>
    <t>Full-Bed Building Stone (Fort Valley, GA)</t>
  </si>
  <si>
    <t>AS3</t>
  </si>
  <si>
    <t>MID218</t>
  </si>
  <si>
    <t>MID358</t>
  </si>
  <si>
    <t>COA3</t>
  </si>
  <si>
    <t>Coastal Series</t>
  </si>
  <si>
    <t>Thin-Clad Building Stone (Fort Valley, GA)</t>
  </si>
  <si>
    <t>CD3</t>
  </si>
  <si>
    <t>CD3b</t>
  </si>
  <si>
    <t>CD4</t>
  </si>
  <si>
    <t>CD5</t>
  </si>
  <si>
    <t>SH2</t>
  </si>
  <si>
    <t>SH3</t>
  </si>
  <si>
    <t>SH4</t>
  </si>
  <si>
    <t>LR3</t>
  </si>
  <si>
    <t>LR4</t>
  </si>
  <si>
    <t>ER2</t>
  </si>
  <si>
    <t>FR3</t>
  </si>
  <si>
    <t>UL3a</t>
  </si>
  <si>
    <t>UL3c</t>
  </si>
  <si>
    <t>Full-Bed Building Stone (Cambridge, ON)</t>
  </si>
  <si>
    <t>Citadel® - 4 Unit</t>
  </si>
  <si>
    <t>Citadel® - 5 Unit (w/ OLD11)</t>
  </si>
  <si>
    <t>Shadow Stone® - 2 Unit</t>
  </si>
  <si>
    <t>Shadow Stone® - 3 Unit</t>
  </si>
  <si>
    <t>Shadow Stone® - 4 Unit (w/ EDG102)</t>
  </si>
  <si>
    <t>Laurier - 3 Unit</t>
  </si>
  <si>
    <t>Laurier - 4 Unit</t>
  </si>
  <si>
    <t>Fresco</t>
  </si>
  <si>
    <t>Urban Ledgestone - Ashlar Bond</t>
  </si>
  <si>
    <t>Urban Ledgestone - Coursed Bond</t>
  </si>
  <si>
    <t>Brick (Cambridge, ON)</t>
  </si>
  <si>
    <r>
      <t>Georgia Citadel</t>
    </r>
    <r>
      <rPr>
        <i/>
        <vertAlign val="superscript"/>
        <sz val="10"/>
        <rFont val="Arial"/>
        <family val="2"/>
      </rPr>
      <t>®</t>
    </r>
    <r>
      <rPr>
        <i/>
        <sz val="10"/>
        <rFont val="Arial"/>
        <family val="2"/>
      </rPr>
      <t xml:space="preserve"> - 3 Unit</t>
    </r>
  </si>
  <si>
    <r>
      <t>Georgia Citadel</t>
    </r>
    <r>
      <rPr>
        <i/>
        <vertAlign val="superscript"/>
        <sz val="10"/>
        <rFont val="Arial"/>
        <family val="2"/>
      </rPr>
      <t>®</t>
    </r>
    <r>
      <rPr>
        <i/>
        <sz val="10"/>
        <rFont val="Arial"/>
        <family val="2"/>
      </rPr>
      <t xml:space="preserve"> - 4 Unit</t>
    </r>
  </si>
  <si>
    <t>Midtown 2-1/8" (Dry Stack)</t>
  </si>
  <si>
    <t>Midtown 2-1/8" (Mortar Joint)</t>
  </si>
  <si>
    <t>Midtown 3-5/8" (Dry Stack)</t>
  </si>
  <si>
    <t>Midtown 3-5/8" (Mortar Joint)</t>
  </si>
  <si>
    <t>MID218j</t>
  </si>
  <si>
    <t>MID358j</t>
  </si>
  <si>
    <t>Cumberland (20:50:30 Bond)</t>
  </si>
  <si>
    <r>
      <t>Georgia Citadel</t>
    </r>
    <r>
      <rPr>
        <b/>
        <vertAlign val="superscript"/>
        <sz val="16"/>
        <color theme="0"/>
        <rFont val="Arial"/>
        <family val="2"/>
      </rPr>
      <t>®</t>
    </r>
    <r>
      <rPr>
        <b/>
        <sz val="16"/>
        <color theme="0"/>
        <rFont val="Arial"/>
        <family val="2"/>
      </rPr>
      <t xml:space="preserve"> - 3 Unit (25:50:25 Bond)</t>
    </r>
  </si>
  <si>
    <r>
      <t>square feet of Georgia Citadel</t>
    </r>
    <r>
      <rPr>
        <vertAlign val="superscript"/>
        <sz val="10"/>
        <color theme="0"/>
        <rFont val="Arial"/>
        <family val="2"/>
      </rPr>
      <t>®</t>
    </r>
    <r>
      <rPr>
        <sz val="10"/>
        <color theme="0"/>
        <rFont val="Arial"/>
        <family val="2"/>
      </rPr>
      <t xml:space="preserve"> Building Stone.</t>
    </r>
  </si>
  <si>
    <r>
      <t>Georgia Citadel</t>
    </r>
    <r>
      <rPr>
        <b/>
        <vertAlign val="superscript"/>
        <sz val="16"/>
        <color theme="0"/>
        <rFont val="Arial"/>
        <family val="2"/>
      </rPr>
      <t>®</t>
    </r>
    <r>
      <rPr>
        <b/>
        <sz val="16"/>
        <color theme="0"/>
        <rFont val="Arial"/>
        <family val="2"/>
      </rPr>
      <t xml:space="preserve"> - 4 Unit (20:20:40:20 Bond)</t>
    </r>
  </si>
  <si>
    <t xml:space="preserve"> NOTE: When the GC35 size is omitted from the wall, the overall range of color may be changed.</t>
  </si>
  <si>
    <t>Old Country (40:40:20 Bond)</t>
  </si>
  <si>
    <t>FT REQ'D</t>
  </si>
  <si>
    <t>50lb. (22kg) bags of MVIS™ Hi-Bond or Thin Brick Mortar**.</t>
  </si>
  <si>
    <t>square feet of Midtown 2-1/8" flats.</t>
  </si>
  <si>
    <t>lineal feet of Midtown 2-1/8" corners.</t>
  </si>
  <si>
    <t>Mortar Joint (in):</t>
  </si>
  <si>
    <t>Note: Adding 3/8" or 1/2" joint will increase square foot coverage.</t>
  </si>
  <si>
    <t>JOINT 3/8</t>
  </si>
  <si>
    <t>PCS / BOX</t>
  </si>
  <si>
    <t>JOINT 1/2</t>
  </si>
  <si>
    <t>AREA / PC (DRY)</t>
  </si>
  <si>
    <t>AREA / PC (3/8)</t>
  </si>
  <si>
    <t>AREA / PC (1/2)</t>
  </si>
  <si>
    <t>50lb. (22kg) bags of MVIS™ Pointing Mortar**.</t>
  </si>
  <si>
    <t>square feet of Midtown 3-5/8" flats.</t>
  </si>
  <si>
    <t>lineal feet of Midtown 3-5/8" corners.</t>
  </si>
  <si>
    <t>Coastal Series (30:55:15 Bond)</t>
  </si>
  <si>
    <t>square feet of Coastal Series flats.</t>
  </si>
  <si>
    <t>lineal feet of Coastal Series corners.</t>
  </si>
  <si>
    <r>
      <t>Citadel</t>
    </r>
    <r>
      <rPr>
        <i/>
        <vertAlign val="superscript"/>
        <sz val="10"/>
        <rFont val="Arial"/>
        <family val="2"/>
      </rPr>
      <t>®</t>
    </r>
    <r>
      <rPr>
        <i/>
        <sz val="10"/>
        <rFont val="Arial"/>
        <family val="2"/>
      </rPr>
      <t xml:space="preserve"> - 3 Unit (CIT23, CIT52, CIT81)</t>
    </r>
  </si>
  <si>
    <r>
      <t>Citadel</t>
    </r>
    <r>
      <rPr>
        <i/>
        <vertAlign val="superscript"/>
        <sz val="10"/>
        <rFont val="Arial"/>
        <family val="2"/>
      </rPr>
      <t>®</t>
    </r>
    <r>
      <rPr>
        <i/>
        <sz val="10"/>
        <rFont val="Arial"/>
        <family val="2"/>
      </rPr>
      <t xml:space="preserve"> - 3 Unit (CIT23, CIT36, CIT52)</t>
    </r>
  </si>
  <si>
    <r>
      <rPr>
        <b/>
        <sz val="9"/>
        <rFont val="Arial Narrow"/>
        <family val="2"/>
      </rPr>
      <t xml:space="preserve">NOTE: </t>
    </r>
    <r>
      <rPr>
        <sz val="9"/>
        <rFont val="Arial Narrow"/>
        <family val="2"/>
      </rPr>
      <t>One PC is based on a 30-7/16" length and may be comprised of 2 or more individual bricks.</t>
    </r>
  </si>
  <si>
    <r>
      <rPr>
        <b/>
        <sz val="9"/>
        <rFont val="Arial Narrow"/>
        <family val="2"/>
      </rPr>
      <t xml:space="preserve">NOTE: </t>
    </r>
    <r>
      <rPr>
        <sz val="9"/>
        <rFont val="Arial Narrow"/>
        <family val="2"/>
      </rPr>
      <t>One PC equals one individual brick.</t>
    </r>
  </si>
  <si>
    <t>Matterhorn (75:25 Bond)</t>
  </si>
  <si>
    <r>
      <t>Citadel</t>
    </r>
    <r>
      <rPr>
        <b/>
        <vertAlign val="superscript"/>
        <sz val="16"/>
        <color theme="0"/>
        <rFont val="Arial"/>
        <family val="2"/>
      </rPr>
      <t>®</t>
    </r>
    <r>
      <rPr>
        <b/>
        <sz val="16"/>
        <color theme="0"/>
        <rFont val="Arial"/>
        <family val="2"/>
      </rPr>
      <t xml:space="preserve"> - 3 Unit (20:40:40 Bond)</t>
    </r>
  </si>
  <si>
    <r>
      <t>Citadel</t>
    </r>
    <r>
      <rPr>
        <b/>
        <vertAlign val="superscript"/>
        <sz val="16"/>
        <color theme="0"/>
        <rFont val="Arial"/>
        <family val="2"/>
      </rPr>
      <t>®</t>
    </r>
    <r>
      <rPr>
        <b/>
        <sz val="16"/>
        <color theme="0"/>
        <rFont val="Arial"/>
        <family val="2"/>
      </rPr>
      <t xml:space="preserve"> - 3 Unit (25:50:25 Bond) NO CIT36</t>
    </r>
  </si>
  <si>
    <t xml:space="preserve"> NOTE: When the CIT36 size is omitted from the wall, the overall range of color may be changed.</t>
  </si>
  <si>
    <r>
      <t>Citadel</t>
    </r>
    <r>
      <rPr>
        <b/>
        <vertAlign val="superscript"/>
        <sz val="16"/>
        <color theme="0"/>
        <rFont val="Arial"/>
        <family val="2"/>
      </rPr>
      <t>®</t>
    </r>
    <r>
      <rPr>
        <b/>
        <sz val="16"/>
        <color theme="0"/>
        <rFont val="Arial"/>
        <family val="2"/>
      </rPr>
      <t xml:space="preserve"> - 4 Unit (20:20:40:20 Bond)</t>
    </r>
  </si>
  <si>
    <t>Edge Rock (75:25 Bond)</t>
  </si>
  <si>
    <t>Fresco (25:50:25 Bond)</t>
  </si>
  <si>
    <t>Laurier - 3 Unit (20:50:30 Bond)</t>
  </si>
  <si>
    <r>
      <t xml:space="preserve">Note: </t>
    </r>
    <r>
      <rPr>
        <i/>
        <sz val="10"/>
        <rFont val="Arial Narrow"/>
        <family val="2"/>
      </rPr>
      <t>Onyx</t>
    </r>
    <r>
      <rPr>
        <sz val="10"/>
        <rFont val="Arial Narrow"/>
        <family val="2"/>
      </rPr>
      <t xml:space="preserve"> price is only applicable if ordered in standard bond ratio.</t>
    </r>
  </si>
  <si>
    <r>
      <rPr>
        <b/>
        <sz val="10"/>
        <rFont val="Arial Narrow"/>
        <family val="2"/>
      </rPr>
      <t xml:space="preserve">Note: </t>
    </r>
    <r>
      <rPr>
        <i/>
        <sz val="10"/>
        <rFont val="Arial Narrow"/>
        <family val="2"/>
      </rPr>
      <t>Honey Brown/Maple Sugar Blend</t>
    </r>
    <r>
      <rPr>
        <sz val="10"/>
        <rFont val="Arial Narrow"/>
        <family val="2"/>
      </rPr>
      <t xml:space="preserve"> includes LAU23 and LAU52 Maple Sugar + LAU81 Honey Brown.</t>
    </r>
  </si>
  <si>
    <t>Laurier - 4 Unit (15:40:30:15 Bond)</t>
  </si>
  <si>
    <r>
      <rPr>
        <b/>
        <sz val="10"/>
        <rFont val="Arial Narrow"/>
        <family val="2"/>
      </rPr>
      <t xml:space="preserve">Note: </t>
    </r>
    <r>
      <rPr>
        <i/>
        <sz val="10"/>
        <rFont val="Arial Narrow"/>
        <family val="2"/>
      </rPr>
      <t xml:space="preserve">Honey Brown/Maple Sugar Blend </t>
    </r>
    <r>
      <rPr>
        <sz val="10"/>
        <rFont val="Arial Narrow"/>
        <family val="2"/>
      </rPr>
      <t>includes LAU23 and LAU52 Maple Sugar + LAU81 Honey Brown.</t>
    </r>
  </si>
  <si>
    <r>
      <t>Shadow Stone</t>
    </r>
    <r>
      <rPr>
        <b/>
        <vertAlign val="superscript"/>
        <sz val="16"/>
        <color theme="0"/>
        <rFont val="Arial"/>
        <family val="2"/>
      </rPr>
      <t>®</t>
    </r>
    <r>
      <rPr>
        <b/>
        <sz val="16"/>
        <color theme="0"/>
        <rFont val="Arial"/>
        <family val="2"/>
      </rPr>
      <t xml:space="preserve"> - 2 Unit (60:40 Bond)</t>
    </r>
  </si>
  <si>
    <r>
      <rPr>
        <b/>
        <sz val="9"/>
        <rFont val="Arial Narrow"/>
        <family val="2"/>
      </rPr>
      <t xml:space="preserve">NOTE: </t>
    </r>
    <r>
      <rPr>
        <sz val="9"/>
        <rFont val="Arial Narrow"/>
        <family val="2"/>
      </rPr>
      <t>One PC* is based on a 23-5/8" length and may be comprised of 2 or more individual stones.</t>
    </r>
  </si>
  <si>
    <r>
      <t>*</t>
    </r>
    <r>
      <rPr>
        <i/>
        <sz val="8"/>
        <rFont val="Arial Narrow"/>
        <family val="2"/>
      </rPr>
      <t>SHA50</t>
    </r>
    <r>
      <rPr>
        <sz val="8"/>
        <rFont val="Arial Narrow"/>
        <family val="2"/>
      </rPr>
      <t xml:space="preserve"> PCS are based on a 31-5/8" length.</t>
    </r>
  </si>
  <si>
    <r>
      <t>Shadow Stone</t>
    </r>
    <r>
      <rPr>
        <b/>
        <vertAlign val="superscript"/>
        <sz val="16"/>
        <color theme="0"/>
        <rFont val="Arial"/>
        <family val="2"/>
      </rPr>
      <t>®</t>
    </r>
    <r>
      <rPr>
        <b/>
        <sz val="16"/>
        <color theme="0"/>
        <rFont val="Arial"/>
        <family val="2"/>
      </rPr>
      <t xml:space="preserve"> - 3 Unit (20:50:30 Bond)</t>
    </r>
  </si>
  <si>
    <r>
      <t>Shadow Stone</t>
    </r>
    <r>
      <rPr>
        <b/>
        <vertAlign val="superscript"/>
        <sz val="16"/>
        <color theme="0"/>
        <rFont val="Arial"/>
        <family val="2"/>
      </rPr>
      <t>®</t>
    </r>
    <r>
      <rPr>
        <b/>
        <sz val="16"/>
        <color theme="0"/>
        <rFont val="Arial"/>
        <family val="2"/>
      </rPr>
      <t xml:space="preserve"> - 4 Unit w/ EDG102 (20:40:30:10 Bond)</t>
    </r>
  </si>
  <si>
    <t>Urban Ledgestone - 3 Unit Ashlar (20:50:30 Bond)</t>
  </si>
  <si>
    <r>
      <rPr>
        <b/>
        <sz val="9"/>
        <rFont val="Arial Narrow"/>
        <family val="2"/>
      </rPr>
      <t xml:space="preserve">NOTE: </t>
    </r>
    <r>
      <rPr>
        <sz val="9"/>
        <rFont val="Arial Narrow"/>
        <family val="2"/>
      </rPr>
      <t>One PC* is based on a 30-3/8" length and may be comprised of 2 or more individual stones.</t>
    </r>
  </si>
  <si>
    <r>
      <rPr>
        <i/>
        <sz val="8"/>
        <rFont val="Arial Narrow"/>
        <family val="2"/>
      </rPr>
      <t>*UL50</t>
    </r>
    <r>
      <rPr>
        <sz val="8"/>
        <rFont val="Arial Narrow"/>
        <family val="2"/>
      </rPr>
      <t xml:space="preserve"> PCS are based on a 31-5/8" length.</t>
    </r>
  </si>
  <si>
    <t>Thin-Clad ARRIS-stack Units (30:55:15 Bond)</t>
  </si>
  <si>
    <t>square feet of ARRIS-stack flats.</t>
  </si>
  <si>
    <t>lineal feet of ARRIS-stack corners.</t>
  </si>
  <si>
    <t>Thin-Clad ARRIS-stack Units</t>
  </si>
  <si>
    <t>*Updated April 25, 2018</t>
  </si>
  <si>
    <t>square feet of Thin-Clad Laurier flats.</t>
  </si>
  <si>
    <t>lineal feet of Thin-Clad Laurier corners.</t>
  </si>
  <si>
    <t>Total (wall - corners) (sqft):</t>
  </si>
  <si>
    <t>Laurier - 4 Unit (10:40:30:20 Bond)</t>
  </si>
  <si>
    <t>Thin-Clad Laurier - 4 Unit (10:40:30:20 Bond)</t>
  </si>
  <si>
    <t>HEIGHT IN.</t>
  </si>
  <si>
    <t>SHA75S</t>
  </si>
  <si>
    <t>Thin-Clad Shadow Stone® - 3 Unit (20:50:30 Bond)</t>
  </si>
  <si>
    <t>Thin-Clad Citadel® - 4 Unit (20:20:40:20 Bond)</t>
  </si>
  <si>
    <t>Thin-Clad Urban Ledgestone - 3 Unit (20:30:50 Bond)</t>
  </si>
  <si>
    <t>Thin-Clad Fresco - 3 Unit (25:50:25 Bond)</t>
  </si>
  <si>
    <t>THIN_LR4</t>
  </si>
  <si>
    <t>THIN_SH3</t>
  </si>
  <si>
    <t>THIN_CD4</t>
  </si>
  <si>
    <t>THIN_UL3c</t>
  </si>
  <si>
    <t>THIN_FR3</t>
  </si>
  <si>
    <t>THIN_ER2</t>
  </si>
  <si>
    <t>Thin-Clad Laurier - 4 Unit</t>
  </si>
  <si>
    <t>Thin-Clad Shadowstone - 3 Unit</t>
  </si>
  <si>
    <t>Thin-Clad Citadel - 4 Unit</t>
  </si>
  <si>
    <t>Thin-Clad Urban Ledgestone -Coursed Bond</t>
  </si>
  <si>
    <t xml:space="preserve">Thin-Clad Fresco </t>
  </si>
  <si>
    <t>Thin-Clad Edge Rock</t>
  </si>
  <si>
    <t>Thin-Clad Building Stone (Cambridge, ON)</t>
  </si>
  <si>
    <t xml:space="preserve"> +/- 5 SQ.FT</t>
  </si>
  <si>
    <t>Thin-Clad Edge Rock - 2 Unit (75:25 Bond)</t>
  </si>
  <si>
    <t>*Updated January 24th,C87 2019</t>
  </si>
  <si>
    <t>/jv</t>
  </si>
  <si>
    <t>Georgian Blend - 3 Unit</t>
  </si>
  <si>
    <t>GB50</t>
  </si>
  <si>
    <t>GB75</t>
  </si>
  <si>
    <t xml:space="preserve"> Adair® Limestone</t>
  </si>
  <si>
    <t>AP35</t>
  </si>
  <si>
    <t>AP75</t>
  </si>
  <si>
    <t>AP115</t>
  </si>
  <si>
    <t>AP3a</t>
  </si>
  <si>
    <t>AP3c</t>
  </si>
  <si>
    <t>AST3a</t>
  </si>
  <si>
    <t>AST3c</t>
  </si>
  <si>
    <t>Parliament - 3 Unit - Ashlar</t>
  </si>
  <si>
    <t>Parliament - 3 Unit - Coursed</t>
  </si>
  <si>
    <t>Studio - 3 Unit - Ashlar</t>
  </si>
  <si>
    <t>Studio - 3 Unit - Coursed</t>
  </si>
  <si>
    <r>
      <rPr>
        <b/>
        <sz val="9"/>
        <rFont val="Arial Narrow"/>
        <family val="2"/>
      </rPr>
      <t xml:space="preserve">NOTE: </t>
    </r>
    <r>
      <rPr>
        <sz val="9"/>
        <rFont val="Arial Narrow"/>
        <family val="2"/>
      </rPr>
      <t>One PC* is based on a 35-5/8" length and may be comprised of 2 or more individual stones.</t>
    </r>
  </si>
  <si>
    <t>Parliament - 3 Unit Coursed (20:30:50 Bond)</t>
  </si>
  <si>
    <t>*Updated March 29, 2019</t>
  </si>
  <si>
    <t>GB3</t>
  </si>
  <si>
    <t>GB21</t>
  </si>
  <si>
    <t>MET3a</t>
  </si>
  <si>
    <t>MET3c</t>
  </si>
  <si>
    <t>Metropolitan - Ashlar</t>
  </si>
  <si>
    <t>Metropolitan - Coursed</t>
  </si>
  <si>
    <t>MET20</t>
  </si>
  <si>
    <t>MET42</t>
  </si>
  <si>
    <t>MET64</t>
  </si>
  <si>
    <t>Metropolitan - 3 Unit Ashlar (22:45:33 Bond)</t>
  </si>
  <si>
    <r>
      <rPr>
        <b/>
        <sz val="9"/>
        <rFont val="Arial Narrow"/>
        <family val="2"/>
      </rPr>
      <t xml:space="preserve">NOTE: </t>
    </r>
    <r>
      <rPr>
        <sz val="9"/>
        <rFont val="Arial Narrow"/>
        <family val="2"/>
      </rPr>
      <t>One PC is based on a 31-5/8" length and may be comprised of 2 or more individual stones.</t>
    </r>
  </si>
  <si>
    <t>Urban Ledgestone - 3 Unit Coursed (22:33:45 Bond)</t>
  </si>
  <si>
    <t>AST22</t>
  </si>
  <si>
    <t>AST50</t>
  </si>
  <si>
    <t>AST75</t>
  </si>
  <si>
    <t>Studio - 3 Unit Coursed (17:33:50 Bond)</t>
  </si>
  <si>
    <t>Metropolitan - 3 Unit Coursed (17:33:50 Bond)</t>
  </si>
  <si>
    <t>L.FT REQ'D</t>
  </si>
  <si>
    <t>PCS REQ'D (L.FT)</t>
  </si>
  <si>
    <t>*Updated April 8, 2019</t>
  </si>
  <si>
    <t>square feet of Metropolitan Building Stone.</t>
  </si>
  <si>
    <r>
      <t>square feet of Georgian Blend Adair</t>
    </r>
    <r>
      <rPr>
        <vertAlign val="superscript"/>
        <sz val="10"/>
        <color theme="0"/>
        <rFont val="Arial"/>
        <family val="2"/>
      </rPr>
      <t>®</t>
    </r>
    <r>
      <rPr>
        <sz val="10"/>
        <color theme="0"/>
        <rFont val="Arial"/>
        <family val="2"/>
      </rPr>
      <t xml:space="preserve"> Limestone.</t>
    </r>
  </si>
  <si>
    <r>
      <t>square feet of Parliament Adair</t>
    </r>
    <r>
      <rPr>
        <vertAlign val="superscript"/>
        <sz val="10"/>
        <color theme="0"/>
        <rFont val="Arial"/>
        <family val="2"/>
      </rPr>
      <t>®</t>
    </r>
    <r>
      <rPr>
        <sz val="10"/>
        <color theme="0"/>
        <rFont val="Arial"/>
        <family val="2"/>
      </rPr>
      <t xml:space="preserve"> Limestone.</t>
    </r>
  </si>
  <si>
    <r>
      <t>square feet of Studio Adair</t>
    </r>
    <r>
      <rPr>
        <vertAlign val="superscript"/>
        <sz val="10"/>
        <color theme="0"/>
        <rFont val="Arial"/>
        <family val="2"/>
      </rPr>
      <t>®</t>
    </r>
    <r>
      <rPr>
        <sz val="10"/>
        <color theme="0"/>
        <rFont val="Arial"/>
        <family val="2"/>
      </rPr>
      <t xml:space="preserve"> Limestone.</t>
    </r>
  </si>
  <si>
    <t>Enter total ext vertical corners (L.ft):</t>
  </si>
  <si>
    <t>HEIGHT FT</t>
  </si>
  <si>
    <r>
      <rPr>
        <b/>
        <sz val="9"/>
        <rFont val="Arial Narrow"/>
        <family val="2"/>
      </rPr>
      <t>NOTE:</t>
    </r>
    <r>
      <rPr>
        <sz val="9"/>
        <rFont val="Arial Narrow"/>
        <family val="2"/>
      </rPr>
      <t xml:space="preserve"> Pieces per box are calculated based on 5 SQ.FT boxes.</t>
    </r>
  </si>
  <si>
    <r>
      <rPr>
        <b/>
        <sz val="9"/>
        <rFont val="Arial Narrow"/>
        <family val="2"/>
      </rPr>
      <t xml:space="preserve">NOTE: </t>
    </r>
    <r>
      <rPr>
        <sz val="9"/>
        <rFont val="Arial Narrow"/>
        <family val="2"/>
      </rPr>
      <t>Pieces per box are calculated based on 5 SQ.FT boxes.</t>
    </r>
  </si>
  <si>
    <t>*Updated April 24, 2019</t>
  </si>
  <si>
    <t>L.FT / SKID</t>
  </si>
  <si>
    <t>ALSB24</t>
  </si>
  <si>
    <t>Architectural Linear Series</t>
  </si>
  <si>
    <t>Architectural Linear Series Brick</t>
  </si>
  <si>
    <t>square feet of Architectural Linear Series Brick</t>
  </si>
  <si>
    <t>*Updated September 13, 2019</t>
  </si>
  <si>
    <t>*Updated December 24, 2019</t>
  </si>
  <si>
    <t>SH5</t>
  </si>
  <si>
    <t>Shadow Stone® - 5 Unit (w/ EDG102 and UL35)</t>
  </si>
  <si>
    <t>*Updated March 5, 2020</t>
  </si>
  <si>
    <t>SHA/UL22</t>
  </si>
  <si>
    <t>SHA/UL50</t>
  </si>
  <si>
    <t>SHAUL50</t>
  </si>
  <si>
    <t>Georgian Blend - 3 Unit Ashlar (20:50:30 Bond)</t>
  </si>
  <si>
    <t>Parliament - 3 Unit Ashlar (20:50:30 Bond)</t>
  </si>
  <si>
    <t>Studio - 3 Unit Ashlar (20:50:30 Bond)</t>
  </si>
  <si>
    <t>CIT/FRE23</t>
  </si>
  <si>
    <t>2020 Small Quantity Building Stone Calculator</t>
  </si>
  <si>
    <r>
      <t>Shadow Stone</t>
    </r>
    <r>
      <rPr>
        <b/>
        <vertAlign val="superscript"/>
        <sz val="14"/>
        <color theme="0"/>
        <rFont val="Arial"/>
        <family val="2"/>
      </rPr>
      <t>®</t>
    </r>
    <r>
      <rPr>
        <b/>
        <sz val="14"/>
        <color theme="0"/>
        <rFont val="Arial"/>
        <family val="2"/>
      </rPr>
      <t xml:space="preserve"> - 5 Unit w/ EDG102 and UL35 (10:20:40:20:10 Bond)</t>
    </r>
  </si>
  <si>
    <t>ER2_ALT</t>
  </si>
  <si>
    <t>Edge Rock (w/ SHA/UL50)</t>
  </si>
  <si>
    <r>
      <t xml:space="preserve">Use "ER2_ALT" when ordering colors </t>
    </r>
    <r>
      <rPr>
        <b/>
        <sz val="9"/>
        <rFont val="Arial Narrow"/>
        <family val="2"/>
      </rPr>
      <t>Steel Grey</t>
    </r>
    <r>
      <rPr>
        <sz val="9"/>
        <rFont val="Arial Narrow"/>
        <family val="2"/>
      </rPr>
      <t xml:space="preserve"> or </t>
    </r>
    <r>
      <rPr>
        <b/>
        <sz val="9"/>
        <rFont val="Arial Narrow"/>
        <family val="2"/>
      </rPr>
      <t>Collingwood</t>
    </r>
  </si>
  <si>
    <t>Edge Rock - 2 Unit w/ SHA/UL50 (75:25 Bond)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</si>
</sst>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0"/>
    <numFmt numFmtId="166" formatCode="0.0000"/>
  </numFmts>
  <fonts count="5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</font>
    <font>
      <b/>
      <sz val="14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7"/>
      <name val="Arial"/>
      <family val="2"/>
    </font>
    <font>
      <b/>
      <sz val="10"/>
      <color indexed="18"/>
      <name val="Lucida Bright"/>
      <family val="1"/>
    </font>
    <font>
      <b/>
      <sz val="8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4"/>
      <color indexed="12"/>
      <name val="Arial"/>
      <family val="2"/>
    </font>
    <font>
      <sz val="14"/>
      <color indexed="10"/>
      <name val="Arial"/>
      <family val="2"/>
    </font>
    <font>
      <sz val="7"/>
      <color indexed="53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0000FF"/>
      <name val="Arial"/>
      <family val="2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b/>
      <vertAlign val="superscript"/>
      <sz val="16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10"/>
      <color rgb="FFFF000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vertAlign val="superscript"/>
      <sz val="10"/>
      <color theme="0"/>
      <name val="Arial"/>
      <family val="2"/>
    </font>
    <font>
      <i/>
      <sz val="8"/>
      <name val="Arial"/>
      <family val="2"/>
    </font>
    <font>
      <sz val="8"/>
      <color theme="0"/>
      <name val="Arial"/>
      <family val="2"/>
    </font>
    <font>
      <b/>
      <sz val="18"/>
      <color rgb="FFC00000"/>
      <name val="Arial"/>
      <family val="2"/>
    </font>
    <font>
      <b/>
      <sz val="14"/>
      <color indexed="9"/>
      <name val="Arial"/>
      <family val="2"/>
    </font>
    <font>
      <i/>
      <sz val="10"/>
      <name val="Arial"/>
      <family val="2"/>
    </font>
    <font>
      <b/>
      <sz val="13"/>
      <name val="Arial"/>
      <family val="2"/>
    </font>
    <font>
      <i/>
      <vertAlign val="superscript"/>
      <sz val="10"/>
      <name val="Arial"/>
      <family val="2"/>
    </font>
    <font>
      <b/>
      <sz val="16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4"/>
      <color rgb="FFFF0000"/>
      <name val="Arial"/>
      <family val="2"/>
    </font>
    <font>
      <b/>
      <sz val="14"/>
      <color rgb="FF0000FF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rgb="FF0000FF"/>
      <name val="Arial"/>
      <family val="2"/>
    </font>
    <font>
      <b/>
      <sz val="12"/>
      <color rgb="FF0000FF"/>
      <name val="Arial"/>
      <family val="2"/>
    </font>
    <font>
      <b/>
      <vertAlign val="superscript"/>
      <sz val="14"/>
      <color theme="0"/>
      <name val="Arial"/>
      <family val="2"/>
    </font>
    <font>
      <b/>
      <sz val="1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198E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59999389629810485"/>
        <bgColor indexed="64"/>
      </patternFill>
    </fill>
  </fills>
  <borders count="105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18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 style="double">
        <color indexed="18"/>
      </bottom>
      <diagonal/>
    </border>
    <border>
      <left/>
      <right style="thin">
        <color indexed="18"/>
      </right>
      <top/>
      <bottom style="double">
        <color indexed="18"/>
      </bottom>
      <diagonal/>
    </border>
    <border>
      <left/>
      <right/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double">
        <color indexed="64"/>
      </right>
      <top/>
      <bottom/>
      <diagonal/>
    </border>
    <border>
      <left style="thin">
        <color indexed="18"/>
      </left>
      <right style="double">
        <color indexed="64"/>
      </right>
      <top style="double">
        <color indexed="64"/>
      </top>
      <bottom/>
      <diagonal/>
    </border>
    <border>
      <left style="thin">
        <color indexed="18"/>
      </left>
      <right style="double">
        <color indexed="64"/>
      </right>
      <top style="thin">
        <color indexed="18"/>
      </top>
      <bottom style="double">
        <color indexed="64"/>
      </bottom>
      <diagonal/>
    </border>
    <border>
      <left/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double">
        <color indexed="64"/>
      </top>
      <bottom/>
      <diagonal/>
    </border>
    <border>
      <left style="thin">
        <color indexed="18"/>
      </left>
      <right style="thin">
        <color indexed="18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1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18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18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indexed="64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indexed="18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ck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double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double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18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18"/>
      </right>
      <top style="medium">
        <color indexed="64"/>
      </top>
      <bottom/>
      <diagonal/>
    </border>
    <border>
      <left/>
      <right style="thin">
        <color indexed="1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56">
    <xf numFmtId="0" fontId="0" fillId="0" borderId="0" xfId="0"/>
    <xf numFmtId="0" fontId="6" fillId="0" borderId="0" xfId="0" applyFont="1" applyProtection="1"/>
    <xf numFmtId="0" fontId="4" fillId="0" borderId="0" xfId="0" applyFont="1" applyBorder="1" applyProtection="1"/>
    <xf numFmtId="0" fontId="4" fillId="0" borderId="0" xfId="0" applyFont="1" applyProtection="1"/>
    <xf numFmtId="0" fontId="6" fillId="0" borderId="0" xfId="0" applyFont="1" applyBorder="1" applyProtection="1"/>
    <xf numFmtId="0" fontId="10" fillId="0" borderId="0" xfId="0" applyFont="1" applyBorder="1" applyProtection="1"/>
    <xf numFmtId="0" fontId="10" fillId="0" borderId="0" xfId="0" applyFont="1" applyProtection="1"/>
    <xf numFmtId="0" fontId="0" fillId="0" borderId="8" xfId="0" applyBorder="1" applyProtection="1"/>
    <xf numFmtId="0" fontId="14" fillId="0" borderId="0" xfId="0" applyFont="1" applyProtection="1"/>
    <xf numFmtId="0" fontId="20" fillId="0" borderId="0" xfId="0" applyFont="1" applyFill="1" applyBorder="1" applyProtection="1"/>
    <xf numFmtId="9" fontId="18" fillId="0" borderId="0" xfId="0" applyNumberFormat="1" applyFont="1" applyBorder="1" applyAlignment="1" applyProtection="1">
      <alignment horizontal="left"/>
    </xf>
    <xf numFmtId="0" fontId="0" fillId="0" borderId="0" xfId="0" applyFill="1" applyProtection="1"/>
    <xf numFmtId="0" fontId="7" fillId="0" borderId="0" xfId="0" applyFont="1" applyFill="1" applyBorder="1" applyProtection="1"/>
    <xf numFmtId="0" fontId="0" fillId="0" borderId="0" xfId="0" applyFill="1" applyBorder="1" applyProtection="1"/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right"/>
    </xf>
    <xf numFmtId="1" fontId="17" fillId="0" borderId="0" xfId="0" applyNumberFormat="1" applyFont="1" applyFill="1" applyBorder="1" applyProtection="1"/>
    <xf numFmtId="0" fontId="0" fillId="2" borderId="0" xfId="0" applyFill="1" applyProtection="1"/>
    <xf numFmtId="0" fontId="13" fillId="0" borderId="0" xfId="0" applyFont="1" applyFill="1" applyBorder="1" applyProtection="1"/>
    <xf numFmtId="0" fontId="2" fillId="0" borderId="0" xfId="0" applyFont="1" applyFill="1" applyProtection="1"/>
    <xf numFmtId="0" fontId="2" fillId="0" borderId="0" xfId="0" applyFont="1" applyFill="1" applyBorder="1" applyProtection="1"/>
    <xf numFmtId="0" fontId="15" fillId="0" borderId="0" xfId="0" applyFont="1" applyFill="1" applyBorder="1" applyProtection="1"/>
    <xf numFmtId="0" fontId="0" fillId="0" borderId="0" xfId="0" applyBorder="1" applyProtection="1"/>
    <xf numFmtId="0" fontId="0" fillId="0" borderId="0" xfId="0" applyProtection="1"/>
    <xf numFmtId="0" fontId="1" fillId="0" borderId="0" xfId="0" applyFont="1" applyBorder="1" applyAlignment="1" applyProtection="1">
      <alignment horizontal="right"/>
    </xf>
    <xf numFmtId="3" fontId="0" fillId="0" borderId="0" xfId="0" applyNumberFormat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0" fontId="0" fillId="0" borderId="50" xfId="0" applyBorder="1" applyAlignment="1" applyProtection="1">
      <alignment horizontal="center"/>
    </xf>
    <xf numFmtId="0" fontId="0" fillId="0" borderId="51" xfId="0" applyBorder="1" applyAlignment="1" applyProtection="1">
      <alignment horizontal="center"/>
    </xf>
    <xf numFmtId="164" fontId="10" fillId="0" borderId="0" xfId="2" applyNumberFormat="1" applyFont="1" applyBorder="1" applyAlignment="1" applyProtection="1">
      <alignment horizontal="center"/>
    </xf>
    <xf numFmtId="0" fontId="0" fillId="6" borderId="0" xfId="0" applyFill="1" applyProtection="1"/>
    <xf numFmtId="0" fontId="5" fillId="6" borderId="0" xfId="0" applyFont="1" applyFill="1" applyBorder="1" applyProtection="1"/>
    <xf numFmtId="2" fontId="0" fillId="0" borderId="0" xfId="0" applyNumberFormat="1" applyBorder="1" applyAlignment="1" applyProtection="1">
      <alignment horizontal="center"/>
    </xf>
    <xf numFmtId="4" fontId="0" fillId="0" borderId="0" xfId="0" applyNumberFormat="1" applyBorder="1" applyAlignment="1" applyProtection="1">
      <alignment horizontal="center"/>
    </xf>
    <xf numFmtId="0" fontId="32" fillId="7" borderId="0" xfId="0" applyFont="1" applyFill="1" applyBorder="1" applyProtection="1"/>
    <xf numFmtId="0" fontId="0" fillId="5" borderId="0" xfId="0" applyFill="1" applyProtection="1"/>
    <xf numFmtId="0" fontId="5" fillId="5" borderId="0" xfId="0" applyFont="1" applyFill="1" applyBorder="1" applyProtection="1"/>
    <xf numFmtId="3" fontId="8" fillId="5" borderId="0" xfId="0" applyNumberFormat="1" applyFont="1" applyFill="1" applyBorder="1" applyProtection="1">
      <protection locked="0"/>
    </xf>
    <xf numFmtId="1" fontId="8" fillId="5" borderId="0" xfId="0" applyNumberFormat="1" applyFont="1" applyFill="1" applyBorder="1" applyProtection="1">
      <protection locked="0"/>
    </xf>
    <xf numFmtId="0" fontId="0" fillId="5" borderId="0" xfId="0" applyFill="1" applyBorder="1" applyProtection="1"/>
    <xf numFmtId="0" fontId="15" fillId="5" borderId="0" xfId="0" applyFont="1" applyFill="1" applyBorder="1" applyProtection="1"/>
    <xf numFmtId="0" fontId="11" fillId="5" borderId="0" xfId="0" applyFont="1" applyFill="1" applyBorder="1" applyProtection="1"/>
    <xf numFmtId="0" fontId="0" fillId="10" borderId="0" xfId="0" applyFill="1" applyProtection="1"/>
    <xf numFmtId="0" fontId="5" fillId="10" borderId="0" xfId="0" applyFont="1" applyFill="1" applyBorder="1" applyProtection="1"/>
    <xf numFmtId="0" fontId="32" fillId="8" borderId="0" xfId="0" applyFont="1" applyFill="1" applyBorder="1" applyProtection="1"/>
    <xf numFmtId="0" fontId="35" fillId="8" borderId="0" xfId="0" applyFont="1" applyFill="1" applyBorder="1" applyProtection="1"/>
    <xf numFmtId="0" fontId="32" fillId="8" borderId="0" xfId="0" applyFont="1" applyFill="1" applyProtection="1"/>
    <xf numFmtId="0" fontId="11" fillId="0" borderId="45" xfId="0" applyFont="1" applyBorder="1" applyAlignment="1" applyProtection="1">
      <alignment horizontal="right" vertical="center"/>
    </xf>
    <xf numFmtId="0" fontId="5" fillId="0" borderId="44" xfId="0" applyFont="1" applyBorder="1" applyAlignment="1" applyProtection="1">
      <alignment horizontal="right" vertical="center"/>
    </xf>
    <xf numFmtId="0" fontId="10" fillId="0" borderId="36" xfId="0" applyFont="1" applyBorder="1" applyAlignment="1" applyProtection="1">
      <alignment horizontal="right" vertical="center"/>
    </xf>
    <xf numFmtId="0" fontId="1" fillId="0" borderId="6" xfId="0" applyFont="1" applyBorder="1" applyAlignment="1" applyProtection="1">
      <alignment horizontal="right" vertical="center"/>
    </xf>
    <xf numFmtId="0" fontId="10" fillId="0" borderId="6" xfId="0" applyFont="1" applyBorder="1" applyAlignment="1" applyProtection="1">
      <alignment horizontal="right" vertical="center"/>
    </xf>
    <xf numFmtId="0" fontId="5" fillId="0" borderId="38" xfId="0" applyFont="1" applyBorder="1" applyAlignment="1" applyProtection="1">
      <alignment horizontal="right" vertical="center"/>
    </xf>
    <xf numFmtId="0" fontId="5" fillId="0" borderId="40" xfId="0" applyFont="1" applyBorder="1" applyAlignment="1" applyProtection="1">
      <alignment horizontal="right" vertical="center"/>
    </xf>
    <xf numFmtId="0" fontId="5" fillId="0" borderId="46" xfId="0" applyFont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/>
    </xf>
    <xf numFmtId="9" fontId="19" fillId="0" borderId="48" xfId="0" applyNumberFormat="1" applyFont="1" applyBorder="1" applyAlignment="1" applyProtection="1">
      <alignment horizontal="center" vertical="center"/>
      <protection locked="0"/>
    </xf>
    <xf numFmtId="9" fontId="19" fillId="0" borderId="49" xfId="0" applyNumberFormat="1" applyFont="1" applyBorder="1" applyAlignment="1" applyProtection="1">
      <alignment horizontal="center" vertical="center"/>
      <protection locked="0"/>
    </xf>
    <xf numFmtId="3" fontId="1" fillId="0" borderId="50" xfId="0" applyNumberFormat="1" applyFont="1" applyBorder="1" applyAlignment="1" applyProtection="1">
      <alignment horizontal="center" vertical="center"/>
    </xf>
    <xf numFmtId="3" fontId="1" fillId="0" borderId="51" xfId="0" applyNumberFormat="1" applyFont="1" applyBorder="1" applyAlignment="1" applyProtection="1">
      <alignment horizontal="center" vertical="center"/>
    </xf>
    <xf numFmtId="0" fontId="10" fillId="0" borderId="50" xfId="0" applyFont="1" applyBorder="1" applyAlignment="1" applyProtection="1">
      <alignment horizontal="center" vertical="center"/>
    </xf>
    <xf numFmtId="0" fontId="10" fillId="0" borderId="51" xfId="0" applyFont="1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3" fontId="9" fillId="0" borderId="52" xfId="0" applyNumberFormat="1" applyFont="1" applyBorder="1" applyAlignment="1" applyProtection="1">
      <alignment horizontal="center" vertical="center"/>
    </xf>
    <xf numFmtId="3" fontId="9" fillId="0" borderId="53" xfId="0" applyNumberFormat="1" applyFont="1" applyBorder="1" applyAlignment="1" applyProtection="1">
      <alignment horizontal="center" vertical="center"/>
    </xf>
    <xf numFmtId="3" fontId="9" fillId="5" borderId="54" xfId="0" applyNumberFormat="1" applyFont="1" applyFill="1" applyBorder="1" applyAlignment="1" applyProtection="1">
      <alignment horizontal="center" vertical="center"/>
    </xf>
    <xf numFmtId="3" fontId="9" fillId="5" borderId="55" xfId="0" applyNumberFormat="1" applyFont="1" applyFill="1" applyBorder="1" applyAlignment="1" applyProtection="1">
      <alignment horizontal="center" vertical="center"/>
    </xf>
    <xf numFmtId="0" fontId="32" fillId="7" borderId="0" xfId="0" applyFont="1" applyFill="1" applyBorder="1" applyAlignment="1" applyProtection="1">
      <alignment horizontal="right" vertical="center"/>
    </xf>
    <xf numFmtId="0" fontId="15" fillId="5" borderId="0" xfId="0" applyFont="1" applyFill="1" applyBorder="1" applyAlignment="1" applyProtection="1">
      <alignment horizontal="right" vertical="center"/>
    </xf>
    <xf numFmtId="3" fontId="12" fillId="5" borderId="0" xfId="0" applyNumberFormat="1" applyFont="1" applyFill="1" applyBorder="1" applyAlignment="1" applyProtection="1">
      <alignment horizontal="center" vertical="center"/>
    </xf>
    <xf numFmtId="0" fontId="32" fillId="7" borderId="0" xfId="0" applyFont="1" applyFill="1" applyBorder="1" applyAlignment="1" applyProtection="1">
      <alignment vertical="center"/>
    </xf>
    <xf numFmtId="0" fontId="32" fillId="7" borderId="0" xfId="0" applyFont="1" applyFill="1" applyBorder="1" applyAlignment="1" applyProtection="1">
      <alignment horizontal="left" vertical="center"/>
    </xf>
    <xf numFmtId="0" fontId="15" fillId="5" borderId="0" xfId="0" applyFont="1" applyFill="1" applyBorder="1" applyAlignment="1" applyProtection="1">
      <alignment horizontal="left" vertical="center"/>
    </xf>
    <xf numFmtId="9" fontId="18" fillId="0" borderId="0" xfId="0" applyNumberFormat="1" applyFont="1" applyBorder="1" applyAlignment="1" applyProtection="1">
      <alignment horizontal="left" vertical="center"/>
    </xf>
    <xf numFmtId="0" fontId="26" fillId="0" borderId="20" xfId="0" applyFont="1" applyBorder="1" applyAlignment="1" applyProtection="1">
      <alignment vertical="center" wrapText="1"/>
    </xf>
    <xf numFmtId="0" fontId="26" fillId="0" borderId="2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3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3" fontId="0" fillId="0" borderId="0" xfId="0" applyNumberForma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28" fillId="0" borderId="20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vertical="center"/>
    </xf>
    <xf numFmtId="0" fontId="0" fillId="0" borderId="0" xfId="0" applyBorder="1" applyAlignment="1" applyProtection="1"/>
    <xf numFmtId="0" fontId="26" fillId="0" borderId="0" xfId="0" applyFont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left" vertical="center"/>
    </xf>
    <xf numFmtId="9" fontId="19" fillId="0" borderId="1" xfId="0" applyNumberFormat="1" applyFont="1" applyBorder="1" applyAlignment="1" applyProtection="1">
      <alignment horizontal="center" vertical="center"/>
      <protection locked="0"/>
    </xf>
    <xf numFmtId="9" fontId="19" fillId="0" borderId="2" xfId="0" applyNumberFormat="1" applyFont="1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</xf>
    <xf numFmtId="0" fontId="0" fillId="0" borderId="56" xfId="0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/>
    </xf>
    <xf numFmtId="0" fontId="11" fillId="5" borderId="0" xfId="0" applyFont="1" applyFill="1" applyBorder="1" applyAlignment="1" applyProtection="1">
      <alignment horizontal="right" vertical="center"/>
    </xf>
    <xf numFmtId="0" fontId="16" fillId="5" borderId="0" xfId="0" applyFont="1" applyFill="1" applyBorder="1" applyAlignment="1" applyProtection="1">
      <alignment horizontal="right" vertical="center"/>
    </xf>
    <xf numFmtId="3" fontId="8" fillId="5" borderId="0" xfId="0" applyNumberFormat="1" applyFont="1" applyFill="1" applyBorder="1" applyAlignment="1" applyProtection="1">
      <alignment vertical="center"/>
      <protection locked="0"/>
    </xf>
    <xf numFmtId="1" fontId="8" fillId="5" borderId="0" xfId="0" applyNumberFormat="1" applyFont="1" applyFill="1" applyBorder="1" applyAlignment="1" applyProtection="1">
      <alignment vertical="center"/>
      <protection locked="0"/>
    </xf>
    <xf numFmtId="3" fontId="8" fillId="5" borderId="0" xfId="0" applyNumberFormat="1" applyFont="1" applyFill="1" applyBorder="1" applyAlignment="1" applyProtection="1">
      <alignment horizontal="right" vertical="center"/>
      <protection locked="0"/>
    </xf>
    <xf numFmtId="1" fontId="8" fillId="5" borderId="0" xfId="0" applyNumberFormat="1" applyFont="1" applyFill="1" applyBorder="1" applyAlignment="1" applyProtection="1">
      <alignment horizontal="right" vertical="center"/>
      <protection locked="0"/>
    </xf>
    <xf numFmtId="0" fontId="11" fillId="0" borderId="9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</xf>
    <xf numFmtId="3" fontId="1" fillId="0" borderId="2" xfId="0" applyNumberFormat="1" applyFont="1" applyBorder="1" applyAlignment="1" applyProtection="1">
      <alignment horizontal="center" vertical="center"/>
    </xf>
    <xf numFmtId="0" fontId="0" fillId="0" borderId="6" xfId="0" quotePrefix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right" vertical="center"/>
    </xf>
    <xf numFmtId="0" fontId="0" fillId="0" borderId="21" xfId="0" applyFill="1" applyBorder="1" applyAlignment="1" applyProtection="1">
      <protection locked="0"/>
    </xf>
    <xf numFmtId="3" fontId="0" fillId="0" borderId="25" xfId="0" applyNumberFormat="1" applyFill="1" applyBorder="1" applyAlignment="1" applyProtection="1">
      <protection locked="0"/>
    </xf>
    <xf numFmtId="0" fontId="0" fillId="0" borderId="25" xfId="0" applyFill="1" applyBorder="1" applyAlignment="1" applyProtection="1">
      <protection locked="0"/>
    </xf>
    <xf numFmtId="0" fontId="10" fillId="0" borderId="6" xfId="2" applyFont="1" applyBorder="1" applyAlignment="1" applyProtection="1">
      <alignment horizontal="right" vertical="center"/>
    </xf>
    <xf numFmtId="0" fontId="1" fillId="0" borderId="6" xfId="2" applyFont="1" applyBorder="1" applyAlignment="1" applyProtection="1">
      <alignment horizontal="right" vertical="center"/>
    </xf>
    <xf numFmtId="0" fontId="10" fillId="0" borderId="8" xfId="2" applyBorder="1" applyAlignment="1" applyProtection="1">
      <alignment horizontal="center" vertical="center"/>
    </xf>
    <xf numFmtId="0" fontId="10" fillId="0" borderId="37" xfId="2" applyBorder="1" applyAlignment="1" applyProtection="1">
      <alignment horizontal="center" vertical="center"/>
    </xf>
    <xf numFmtId="3" fontId="9" fillId="0" borderId="32" xfId="2" applyNumberFormat="1" applyFont="1" applyBorder="1" applyAlignment="1" applyProtection="1">
      <alignment horizontal="center" vertical="center"/>
    </xf>
    <xf numFmtId="3" fontId="9" fillId="0" borderId="39" xfId="2" applyNumberFormat="1" applyFont="1" applyBorder="1" applyAlignment="1" applyProtection="1">
      <alignment horizontal="center" vertical="center"/>
    </xf>
    <xf numFmtId="0" fontId="5" fillId="0" borderId="34" xfId="2" applyFont="1" applyBorder="1" applyAlignment="1" applyProtection="1">
      <alignment horizontal="right" vertical="center"/>
    </xf>
    <xf numFmtId="0" fontId="5" fillId="0" borderId="40" xfId="2" applyFont="1" applyFill="1" applyBorder="1" applyAlignment="1" applyProtection="1">
      <alignment horizontal="right" vertical="center"/>
    </xf>
    <xf numFmtId="3" fontId="9" fillId="5" borderId="35" xfId="2" applyNumberFormat="1" applyFont="1" applyFill="1" applyBorder="1" applyAlignment="1" applyProtection="1">
      <alignment horizontal="center" vertical="center"/>
    </xf>
    <xf numFmtId="3" fontId="9" fillId="5" borderId="41" xfId="2" applyNumberFormat="1" applyFont="1" applyFill="1" applyBorder="1" applyAlignment="1" applyProtection="1">
      <alignment horizontal="center" vertical="center"/>
    </xf>
    <xf numFmtId="0" fontId="0" fillId="5" borderId="0" xfId="0" applyFill="1" applyAlignment="1" applyProtection="1">
      <alignment horizontal="right" vertical="center"/>
    </xf>
    <xf numFmtId="0" fontId="5" fillId="5" borderId="0" xfId="0" applyFont="1" applyFill="1" applyBorder="1" applyAlignment="1" applyProtection="1">
      <alignment horizontal="right" vertical="center"/>
    </xf>
    <xf numFmtId="9" fontId="19" fillId="0" borderId="31" xfId="0" applyNumberFormat="1" applyFont="1" applyBorder="1" applyAlignment="1" applyProtection="1">
      <alignment horizontal="center" vertical="center"/>
      <protection locked="0"/>
    </xf>
    <xf numFmtId="9" fontId="19" fillId="0" borderId="59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3" fontId="9" fillId="0" borderId="33" xfId="2" applyNumberFormat="1" applyFont="1" applyBorder="1" applyAlignment="1" applyProtection="1">
      <alignment horizontal="center" vertical="center"/>
    </xf>
    <xf numFmtId="3" fontId="9" fillId="5" borderId="47" xfId="2" applyNumberFormat="1" applyFont="1" applyFill="1" applyBorder="1" applyAlignment="1" applyProtection="1">
      <alignment horizontal="center" vertical="center"/>
    </xf>
    <xf numFmtId="0" fontId="11" fillId="10" borderId="0" xfId="0" applyFont="1" applyFill="1" applyBorder="1" applyAlignment="1" applyProtection="1">
      <alignment horizontal="right" vertical="center"/>
    </xf>
    <xf numFmtId="0" fontId="16" fillId="10" borderId="0" xfId="0" applyFont="1" applyFill="1" applyBorder="1" applyAlignment="1" applyProtection="1">
      <alignment horizontal="right" vertical="center"/>
    </xf>
    <xf numFmtId="0" fontId="16" fillId="6" borderId="0" xfId="0" applyFont="1" applyFill="1" applyBorder="1" applyAlignment="1" applyProtection="1">
      <alignment horizontal="right" vertical="center"/>
    </xf>
    <xf numFmtId="3" fontId="8" fillId="10" borderId="0" xfId="0" applyNumberFormat="1" applyFont="1" applyFill="1" applyBorder="1" applyAlignment="1" applyProtection="1">
      <alignment horizontal="right" vertical="center"/>
      <protection locked="0"/>
    </xf>
    <xf numFmtId="1" fontId="8" fillId="10" borderId="0" xfId="0" applyNumberFormat="1" applyFont="1" applyFill="1" applyBorder="1" applyAlignment="1" applyProtection="1">
      <alignment horizontal="right" vertical="center"/>
      <protection locked="0"/>
    </xf>
    <xf numFmtId="0" fontId="10" fillId="0" borderId="8" xfId="2" applyFont="1" applyBorder="1" applyAlignment="1" applyProtection="1">
      <alignment horizontal="center" vertical="center"/>
    </xf>
    <xf numFmtId="0" fontId="5" fillId="0" borderId="38" xfId="2" applyFont="1" applyBorder="1" applyAlignment="1" applyProtection="1">
      <alignment horizontal="right" vertical="center"/>
    </xf>
    <xf numFmtId="0" fontId="5" fillId="0" borderId="40" xfId="2" applyFont="1" applyBorder="1" applyAlignment="1" applyProtection="1">
      <alignment horizontal="right" vertical="center"/>
    </xf>
    <xf numFmtId="3" fontId="9" fillId="3" borderId="35" xfId="2" applyNumberFormat="1" applyFont="1" applyFill="1" applyBorder="1" applyAlignment="1" applyProtection="1">
      <alignment horizontal="center" vertical="center"/>
    </xf>
    <xf numFmtId="164" fontId="0" fillId="0" borderId="0" xfId="0" applyNumberForma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/>
    </xf>
    <xf numFmtId="0" fontId="10" fillId="0" borderId="6" xfId="0" quotePrefix="1" applyFont="1" applyBorder="1" applyAlignment="1" applyProtection="1">
      <alignment horizontal="right" vertical="center"/>
    </xf>
    <xf numFmtId="0" fontId="11" fillId="0" borderId="4" xfId="0" applyFont="1" applyBorder="1" applyAlignment="1" applyProtection="1">
      <alignment horizontal="center" vertical="center"/>
    </xf>
    <xf numFmtId="9" fontId="19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vertical="center"/>
    </xf>
    <xf numFmtId="0" fontId="0" fillId="5" borderId="0" xfId="0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9" fontId="19" fillId="0" borderId="7" xfId="0" applyNumberFormat="1" applyFont="1" applyBorder="1" applyAlignment="1" applyProtection="1">
      <alignment horizontal="center" vertical="center"/>
      <protection locked="0"/>
    </xf>
    <xf numFmtId="9" fontId="19" fillId="0" borderId="23" xfId="0" applyNumberFormat="1" applyFont="1" applyBorder="1" applyAlignment="1" applyProtection="1">
      <alignment horizontal="center" vertical="center"/>
      <protection locked="0"/>
    </xf>
    <xf numFmtId="9" fontId="19" fillId="0" borderId="24" xfId="0" applyNumberFormat="1" applyFont="1" applyBorder="1" applyAlignment="1" applyProtection="1">
      <alignment horizontal="center" vertical="center"/>
      <protection locked="0"/>
    </xf>
    <xf numFmtId="0" fontId="37" fillId="0" borderId="0" xfId="0" applyFont="1" applyBorder="1" applyAlignment="1" applyProtection="1">
      <alignment vertical="center" wrapText="1"/>
    </xf>
    <xf numFmtId="0" fontId="38" fillId="0" borderId="0" xfId="0" applyFont="1" applyBorder="1" applyAlignment="1" applyProtection="1">
      <alignment vertical="center" wrapText="1"/>
    </xf>
    <xf numFmtId="1" fontId="10" fillId="0" borderId="0" xfId="2" applyNumberFormat="1" applyFont="1" applyBorder="1" applyAlignment="1" applyProtection="1">
      <alignment horizontal="center" vertical="center"/>
    </xf>
    <xf numFmtId="3" fontId="8" fillId="0" borderId="0" xfId="0" applyNumberFormat="1" applyFont="1" applyFill="1" applyBorder="1" applyProtection="1"/>
    <xf numFmtId="1" fontId="8" fillId="0" borderId="0" xfId="0" applyNumberFormat="1" applyFont="1" applyFill="1" applyBorder="1" applyProtection="1"/>
    <xf numFmtId="0" fontId="23" fillId="0" borderId="0" xfId="0" applyFont="1" applyFill="1" applyAlignment="1" applyProtection="1">
      <alignment horizontal="left" wrapText="1"/>
    </xf>
    <xf numFmtId="0" fontId="0" fillId="0" borderId="0" xfId="0" applyBorder="1" applyAlignment="1" applyProtection="1">
      <alignment horizontal="center"/>
    </xf>
    <xf numFmtId="0" fontId="22" fillId="0" borderId="0" xfId="0" applyFont="1" applyFill="1" applyBorder="1" applyAlignment="1" applyProtection="1">
      <alignment wrapText="1" shrinkToFit="1"/>
    </xf>
    <xf numFmtId="9" fontId="8" fillId="0" borderId="0" xfId="0" applyNumberFormat="1" applyFont="1" applyFill="1" applyBorder="1" applyProtection="1"/>
    <xf numFmtId="3" fontId="34" fillId="7" borderId="0" xfId="0" applyNumberFormat="1" applyFont="1" applyFill="1" applyBorder="1" applyAlignment="1" applyProtection="1">
      <alignment horizontal="center" vertical="center"/>
    </xf>
    <xf numFmtId="0" fontId="3" fillId="4" borderId="60" xfId="1" applyFill="1" applyBorder="1" applyAlignment="1" applyProtection="1">
      <alignment horizontal="right" vertical="center"/>
      <protection locked="0"/>
    </xf>
    <xf numFmtId="0" fontId="3" fillId="14" borderId="26" xfId="1" applyFill="1" applyBorder="1" applyAlignment="1" applyProtection="1">
      <alignment horizontal="right" vertical="center"/>
      <protection locked="0"/>
    </xf>
    <xf numFmtId="0" fontId="3" fillId="14" borderId="60" xfId="1" applyFill="1" applyBorder="1" applyAlignment="1" applyProtection="1">
      <alignment horizontal="right" vertical="center"/>
      <protection locked="0"/>
    </xf>
    <xf numFmtId="0" fontId="3" fillId="14" borderId="14" xfId="1" applyFill="1" applyBorder="1" applyAlignment="1" applyProtection="1">
      <alignment horizontal="right" vertical="center"/>
      <protection locked="0"/>
    </xf>
    <xf numFmtId="0" fontId="45" fillId="0" borderId="43" xfId="0" applyFont="1" applyBorder="1" applyAlignment="1" applyProtection="1">
      <alignment horizontal="center" vertical="center"/>
    </xf>
    <xf numFmtId="0" fontId="0" fillId="15" borderId="0" xfId="0" applyFill="1" applyAlignment="1" applyProtection="1">
      <alignment horizontal="right" vertical="center"/>
    </xf>
    <xf numFmtId="0" fontId="5" fillId="15" borderId="0" xfId="0" applyFont="1" applyFill="1" applyBorder="1" applyAlignment="1" applyProtection="1">
      <alignment horizontal="right" vertical="center"/>
    </xf>
    <xf numFmtId="0" fontId="38" fillId="15" borderId="0" xfId="0" applyFont="1" applyFill="1" applyBorder="1" applyAlignment="1" applyProtection="1">
      <alignment horizontal="right" vertical="center"/>
    </xf>
    <xf numFmtId="1" fontId="8" fillId="15" borderId="0" xfId="0" applyNumberFormat="1" applyFont="1" applyFill="1" applyBorder="1" applyAlignment="1" applyProtection="1">
      <alignment vertical="center"/>
      <protection locked="0"/>
    </xf>
    <xf numFmtId="0" fontId="5" fillId="2" borderId="69" xfId="0" applyFont="1" applyFill="1" applyBorder="1" applyAlignment="1" applyProtection="1">
      <alignment horizontal="center" vertical="center"/>
    </xf>
    <xf numFmtId="3" fontId="1" fillId="2" borderId="37" xfId="0" applyNumberFormat="1" applyFont="1" applyFill="1" applyBorder="1" applyAlignment="1" applyProtection="1">
      <alignment horizontal="center" vertical="center"/>
    </xf>
    <xf numFmtId="0" fontId="32" fillId="12" borderId="0" xfId="0" applyFont="1" applyFill="1" applyBorder="1" applyProtection="1"/>
    <xf numFmtId="0" fontId="32" fillId="12" borderId="0" xfId="0" applyFont="1" applyFill="1" applyBorder="1" applyAlignment="1" applyProtection="1">
      <alignment horizontal="right" vertical="center"/>
    </xf>
    <xf numFmtId="3" fontId="34" fillId="12" borderId="0" xfId="0" applyNumberFormat="1" applyFont="1" applyFill="1" applyBorder="1" applyAlignment="1" applyProtection="1">
      <alignment horizontal="center" vertical="center"/>
    </xf>
    <xf numFmtId="0" fontId="32" fillId="12" borderId="0" xfId="0" applyFont="1" applyFill="1" applyBorder="1" applyAlignment="1" applyProtection="1">
      <alignment horizontal="left" vertical="center"/>
    </xf>
    <xf numFmtId="0" fontId="32" fillId="12" borderId="0" xfId="0" applyFont="1" applyFill="1" applyProtection="1"/>
    <xf numFmtId="0" fontId="3" fillId="4" borderId="26" xfId="1" applyFill="1" applyBorder="1" applyAlignment="1" applyProtection="1">
      <alignment horizontal="right" vertical="center"/>
      <protection locked="0"/>
    </xf>
    <xf numFmtId="0" fontId="3" fillId="11" borderId="60" xfId="1" applyFill="1" applyBorder="1" applyAlignment="1" applyProtection="1">
      <alignment horizontal="right" vertical="center"/>
      <protection locked="0"/>
    </xf>
    <xf numFmtId="165" fontId="10" fillId="2" borderId="37" xfId="0" applyNumberFormat="1" applyFont="1" applyFill="1" applyBorder="1" applyAlignment="1" applyProtection="1">
      <alignment horizontal="center" vertical="center"/>
    </xf>
    <xf numFmtId="3" fontId="10" fillId="2" borderId="37" xfId="0" applyNumberFormat="1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vertical="center"/>
    </xf>
    <xf numFmtId="0" fontId="28" fillId="2" borderId="72" xfId="0" applyFont="1" applyFill="1" applyBorder="1" applyAlignment="1" applyProtection="1">
      <alignment horizontal="right" vertical="center"/>
    </xf>
    <xf numFmtId="2" fontId="10" fillId="2" borderId="50" xfId="0" applyNumberFormat="1" applyFont="1" applyFill="1" applyBorder="1" applyAlignment="1" applyProtection="1">
      <alignment horizontal="center" vertical="center" shrinkToFit="1"/>
    </xf>
    <xf numFmtId="0" fontId="10" fillId="2" borderId="73" xfId="0" applyFont="1" applyFill="1" applyBorder="1" applyAlignment="1" applyProtection="1">
      <alignment vertical="center"/>
    </xf>
    <xf numFmtId="0" fontId="10" fillId="2" borderId="74" xfId="0" applyFont="1" applyFill="1" applyBorder="1" applyAlignment="1" applyProtection="1">
      <alignment vertical="center"/>
    </xf>
    <xf numFmtId="0" fontId="10" fillId="2" borderId="75" xfId="0" applyFont="1" applyFill="1" applyBorder="1" applyAlignment="1" applyProtection="1">
      <alignment vertical="center" shrinkToFit="1"/>
    </xf>
    <xf numFmtId="0" fontId="3" fillId="2" borderId="60" xfId="1" applyFill="1" applyBorder="1" applyAlignment="1" applyProtection="1">
      <alignment horizontal="right" vertical="center"/>
      <protection locked="0"/>
    </xf>
    <xf numFmtId="1" fontId="10" fillId="2" borderId="50" xfId="0" applyNumberFormat="1" applyFont="1" applyFill="1" applyBorder="1" applyAlignment="1" applyProtection="1">
      <alignment horizontal="center" vertical="center" shrinkToFit="1"/>
    </xf>
    <xf numFmtId="0" fontId="3" fillId="11" borderId="14" xfId="1" applyFill="1" applyBorder="1" applyAlignment="1" applyProtection="1">
      <alignment horizontal="right" vertical="center"/>
      <protection locked="0"/>
    </xf>
    <xf numFmtId="0" fontId="3" fillId="9" borderId="60" xfId="1" applyFill="1" applyBorder="1" applyAlignment="1" applyProtection="1">
      <alignment horizontal="right" vertical="center"/>
      <protection locked="0"/>
    </xf>
    <xf numFmtId="0" fontId="10" fillId="2" borderId="20" xfId="0" applyFont="1" applyFill="1" applyBorder="1" applyAlignment="1" applyProtection="1">
      <alignment horizontal="right" vertical="center"/>
    </xf>
    <xf numFmtId="0" fontId="10" fillId="2" borderId="72" xfId="0" applyFont="1" applyFill="1" applyBorder="1" applyAlignment="1" applyProtection="1">
      <alignment horizontal="right" vertical="center"/>
    </xf>
    <xf numFmtId="3" fontId="50" fillId="6" borderId="0" xfId="0" applyNumberFormat="1" applyFont="1" applyFill="1" applyBorder="1" applyAlignment="1" applyProtection="1">
      <alignment horizontal="right" vertical="center"/>
      <protection locked="0"/>
    </xf>
    <xf numFmtId="12" fontId="50" fillId="1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1" applyFill="1" applyAlignment="1" applyProtection="1">
      <alignment horizontal="right" vertical="center"/>
      <protection locked="0"/>
    </xf>
    <xf numFmtId="0" fontId="0" fillId="0" borderId="13" xfId="0" applyBorder="1" applyProtection="1"/>
    <xf numFmtId="0" fontId="11" fillId="0" borderId="18" xfId="0" applyFont="1" applyBorder="1" applyAlignment="1" applyProtection="1">
      <alignment horizontal="right" vertical="center"/>
    </xf>
    <xf numFmtId="0" fontId="5" fillId="0" borderId="19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5" fillId="0" borderId="17" xfId="0" applyFont="1" applyBorder="1" applyAlignment="1" applyProtection="1">
      <alignment horizontal="right" vertical="center"/>
    </xf>
    <xf numFmtId="0" fontId="10" fillId="0" borderId="16" xfId="0" applyFont="1" applyBorder="1" applyAlignment="1" applyProtection="1">
      <alignment horizontal="right" vertical="center"/>
    </xf>
    <xf numFmtId="0" fontId="0" fillId="0" borderId="8" xfId="0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right" vertical="center"/>
    </xf>
    <xf numFmtId="3" fontId="1" fillId="0" borderId="8" xfId="0" applyNumberFormat="1" applyFont="1" applyBorder="1" applyAlignment="1" applyProtection="1">
      <alignment horizontal="center" vertical="center"/>
    </xf>
    <xf numFmtId="0" fontId="10" fillId="0" borderId="16" xfId="0" quotePrefix="1" applyFont="1" applyBorder="1" applyAlignment="1" applyProtection="1">
      <alignment horizontal="right" vertical="center"/>
    </xf>
    <xf numFmtId="0" fontId="28" fillId="0" borderId="0" xfId="0" applyFont="1" applyProtection="1"/>
    <xf numFmtId="3" fontId="0" fillId="0" borderId="0" xfId="0" applyNumberFormat="1" applyAlignment="1" applyProtection="1">
      <alignment horizontal="center" vertical="center"/>
    </xf>
    <xf numFmtId="3" fontId="0" fillId="0" borderId="0" xfId="0" applyNumberFormat="1" applyAlignment="1" applyProtection="1">
      <alignment horizontal="center"/>
    </xf>
    <xf numFmtId="1" fontId="0" fillId="0" borderId="0" xfId="0" applyNumberFormat="1" applyAlignment="1" applyProtection="1">
      <alignment horizontal="center" vertical="center"/>
    </xf>
    <xf numFmtId="1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0" fillId="0" borderId="0" xfId="0" applyFont="1" applyFill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5" fillId="5" borderId="0" xfId="0" applyFont="1" applyFill="1" applyAlignment="1" applyProtection="1">
      <alignment horizontal="right" vertical="center"/>
    </xf>
    <xf numFmtId="3" fontId="12" fillId="5" borderId="0" xfId="0" applyNumberFormat="1" applyFont="1" applyFill="1" applyAlignment="1" applyProtection="1">
      <alignment horizontal="center" vertical="center"/>
    </xf>
    <xf numFmtId="0" fontId="15" fillId="5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right" vertical="center"/>
    </xf>
    <xf numFmtId="0" fontId="1" fillId="0" borderId="0" xfId="0" applyFont="1" applyFill="1" applyAlignment="1" applyProtection="1">
      <alignment horizontal="right" vertical="center"/>
    </xf>
    <xf numFmtId="0" fontId="13" fillId="0" borderId="0" xfId="0" applyFont="1" applyFill="1" applyAlignment="1" applyProtection="1">
      <alignment horizontal="right" vertical="center"/>
    </xf>
    <xf numFmtId="0" fontId="15" fillId="5" borderId="0" xfId="0" applyFont="1" applyFill="1" applyAlignment="1" applyProtection="1">
      <alignment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0" fillId="0" borderId="10" xfId="0" applyBorder="1" applyAlignment="1" applyProtection="1">
      <alignment horizontal="center" vertical="center"/>
    </xf>
    <xf numFmtId="3" fontId="1" fillId="0" borderId="10" xfId="0" applyNumberFormat="1" applyFont="1" applyBorder="1" applyAlignment="1" applyProtection="1">
      <alignment horizontal="center" vertical="center"/>
    </xf>
    <xf numFmtId="0" fontId="28" fillId="0" borderId="0" xfId="0" applyFont="1" applyAlignment="1" applyProtection="1">
      <alignment vertical="center"/>
    </xf>
    <xf numFmtId="0" fontId="32" fillId="8" borderId="0" xfId="0" applyFont="1" applyFill="1" applyAlignment="1" applyProtection="1">
      <alignment horizontal="right" vertical="center"/>
    </xf>
    <xf numFmtId="3" fontId="34" fillId="8" borderId="0" xfId="0" applyNumberFormat="1" applyFont="1" applyFill="1" applyBorder="1" applyAlignment="1" applyProtection="1">
      <alignment horizontal="center" vertical="center"/>
    </xf>
    <xf numFmtId="0" fontId="32" fillId="8" borderId="0" xfId="0" applyFont="1" applyFill="1" applyAlignment="1" applyProtection="1">
      <alignment horizontal="left" vertical="center"/>
    </xf>
    <xf numFmtId="2" fontId="0" fillId="0" borderId="0" xfId="0" applyNumberFormat="1" applyBorder="1" applyAlignment="1" applyProtection="1">
      <alignment horizontal="center" vertical="center"/>
    </xf>
    <xf numFmtId="0" fontId="32" fillId="8" borderId="0" xfId="0" applyFont="1" applyFill="1" applyAlignment="1" applyProtection="1">
      <alignment vertical="center"/>
    </xf>
    <xf numFmtId="0" fontId="11" fillId="0" borderId="5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3" fontId="1" fillId="0" borderId="7" xfId="0" applyNumberFormat="1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32" fillId="8" borderId="0" xfId="0" applyFont="1" applyFill="1" applyBorder="1" applyAlignment="1" applyProtection="1">
      <alignment horizontal="right" vertical="center"/>
    </xf>
    <xf numFmtId="0" fontId="32" fillId="8" borderId="0" xfId="0" applyFont="1" applyFill="1" applyBorder="1" applyAlignment="1" applyProtection="1">
      <alignment vertical="center"/>
    </xf>
    <xf numFmtId="0" fontId="15" fillId="5" borderId="0" xfId="0" applyFont="1" applyFill="1" applyBorder="1" applyAlignment="1" applyProtection="1">
      <alignment vertical="center"/>
    </xf>
    <xf numFmtId="0" fontId="0" fillId="0" borderId="0" xfId="0" applyFill="1" applyProtection="1">
      <protection locked="0"/>
    </xf>
    <xf numFmtId="0" fontId="5" fillId="0" borderId="20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3" fontId="1" fillId="0" borderId="20" xfId="0" applyNumberFormat="1" applyFont="1" applyBorder="1" applyAlignment="1" applyProtection="1">
      <alignment horizontal="center" vertical="center"/>
    </xf>
    <xf numFmtId="3" fontId="9" fillId="0" borderId="20" xfId="0" applyNumberFormat="1" applyFont="1" applyBorder="1" applyAlignment="1" applyProtection="1">
      <alignment horizontal="center" vertical="center"/>
    </xf>
    <xf numFmtId="3" fontId="9" fillId="0" borderId="0" xfId="0" applyNumberFormat="1" applyFont="1" applyBorder="1" applyAlignment="1" applyProtection="1">
      <alignment horizontal="center" vertical="center"/>
    </xf>
    <xf numFmtId="1" fontId="0" fillId="0" borderId="0" xfId="0" applyNumberForma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9" fontId="6" fillId="0" borderId="0" xfId="0" applyNumberFormat="1" applyFont="1" applyBorder="1" applyAlignment="1" applyProtection="1">
      <alignment horizontal="center"/>
    </xf>
    <xf numFmtId="3" fontId="1" fillId="0" borderId="0" xfId="0" applyNumberFormat="1" applyFont="1" applyBorder="1" applyAlignment="1" applyProtection="1">
      <alignment horizontal="center"/>
    </xf>
    <xf numFmtId="3" fontId="9" fillId="0" borderId="0" xfId="0" applyNumberFormat="1" applyFont="1" applyBorder="1" applyAlignment="1" applyProtection="1">
      <alignment horizontal="center"/>
    </xf>
    <xf numFmtId="1" fontId="0" fillId="0" borderId="0" xfId="0" applyNumberFormat="1" applyBorder="1" applyAlignment="1" applyProtection="1">
      <alignment horizontal="center"/>
    </xf>
    <xf numFmtId="0" fontId="32" fillId="8" borderId="0" xfId="0" applyFont="1" applyFill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28" fillId="0" borderId="0" xfId="0" applyFont="1" applyBorder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/>
    </xf>
    <xf numFmtId="2" fontId="0" fillId="0" borderId="1" xfId="0" applyNumberFormat="1" applyBorder="1" applyAlignment="1" applyProtection="1">
      <alignment horizontal="center"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10" fillId="0" borderId="0" xfId="0" applyFont="1" applyFill="1" applyBorder="1" applyAlignment="1" applyProtection="1">
      <alignment horizontal="right"/>
    </xf>
    <xf numFmtId="0" fontId="41" fillId="8" borderId="0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right" vertical="center"/>
      <protection locked="0"/>
    </xf>
    <xf numFmtId="0" fontId="11" fillId="0" borderId="30" xfId="0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right" vertical="center"/>
    </xf>
    <xf numFmtId="0" fontId="3" fillId="0" borderId="0" xfId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5" fillId="2" borderId="80" xfId="0" applyFont="1" applyFill="1" applyBorder="1" applyAlignment="1" applyProtection="1">
      <alignment horizontal="right" vertical="center"/>
    </xf>
    <xf numFmtId="0" fontId="5" fillId="2" borderId="81" xfId="0" applyFont="1" applyFill="1" applyBorder="1" applyAlignment="1" applyProtection="1">
      <alignment horizontal="center" vertical="center"/>
    </xf>
    <xf numFmtId="0" fontId="1" fillId="2" borderId="58" xfId="0" applyFont="1" applyFill="1" applyBorder="1" applyAlignment="1" applyProtection="1">
      <alignment horizontal="right" vertical="center"/>
    </xf>
    <xf numFmtId="1" fontId="1" fillId="2" borderId="50" xfId="0" applyNumberFormat="1" applyFont="1" applyFill="1" applyBorder="1" applyAlignment="1" applyProtection="1">
      <alignment horizontal="center" vertical="center"/>
    </xf>
    <xf numFmtId="0" fontId="10" fillId="2" borderId="36" xfId="0" applyFont="1" applyFill="1" applyBorder="1" applyAlignment="1" applyProtection="1">
      <alignment horizontal="right" vertical="center"/>
    </xf>
    <xf numFmtId="12" fontId="10" fillId="2" borderId="50" xfId="0" applyNumberFormat="1" applyFont="1" applyFill="1" applyBorder="1" applyAlignment="1" applyProtection="1">
      <alignment horizontal="center" vertical="center"/>
    </xf>
    <xf numFmtId="0" fontId="28" fillId="2" borderId="36" xfId="0" applyFont="1" applyFill="1" applyBorder="1" applyAlignment="1" applyProtection="1">
      <alignment horizontal="right" vertical="center"/>
    </xf>
    <xf numFmtId="166" fontId="10" fillId="2" borderId="50" xfId="0" applyNumberFormat="1" applyFont="1" applyFill="1" applyBorder="1" applyAlignment="1" applyProtection="1">
      <alignment horizontal="center" vertical="center"/>
    </xf>
    <xf numFmtId="2" fontId="10" fillId="2" borderId="50" xfId="0" applyNumberFormat="1" applyFont="1" applyFill="1" applyBorder="1" applyAlignment="1" applyProtection="1">
      <alignment horizontal="center" vertical="center"/>
    </xf>
    <xf numFmtId="2" fontId="0" fillId="2" borderId="50" xfId="0" applyNumberFormat="1" applyFill="1" applyBorder="1" applyAlignment="1" applyProtection="1">
      <alignment horizontal="center" vertical="center"/>
    </xf>
    <xf numFmtId="0" fontId="5" fillId="2" borderId="63" xfId="0" applyFont="1" applyFill="1" applyBorder="1" applyAlignment="1" applyProtection="1">
      <alignment horizontal="right" vertical="center"/>
    </xf>
    <xf numFmtId="3" fontId="9" fillId="2" borderId="61" xfId="0" applyNumberFormat="1" applyFont="1" applyFill="1" applyBorder="1" applyAlignment="1" applyProtection="1">
      <alignment horizontal="center" vertical="center"/>
    </xf>
    <xf numFmtId="0" fontId="5" fillId="2" borderId="62" xfId="0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 vertical="top"/>
    </xf>
    <xf numFmtId="3" fontId="10" fillId="0" borderId="0" xfId="0" applyNumberFormat="1" applyFont="1" applyBorder="1" applyAlignment="1" applyProtection="1">
      <alignment horizontal="right" vertical="center"/>
    </xf>
    <xf numFmtId="0" fontId="0" fillId="16" borderId="0" xfId="0" applyFill="1" applyBorder="1" applyProtection="1"/>
    <xf numFmtId="0" fontId="10" fillId="16" borderId="0" xfId="0" applyFont="1" applyFill="1" applyBorder="1" applyAlignment="1" applyProtection="1">
      <alignment horizontal="right" vertical="center"/>
    </xf>
    <xf numFmtId="3" fontId="12" fillId="16" borderId="0" xfId="0" applyNumberFormat="1" applyFont="1" applyFill="1" applyBorder="1" applyAlignment="1" applyProtection="1">
      <alignment horizontal="center"/>
    </xf>
    <xf numFmtId="0" fontId="10" fillId="16" borderId="0" xfId="0" applyFont="1" applyFill="1" applyBorder="1" applyAlignment="1" applyProtection="1">
      <alignment horizontal="left" vertical="center"/>
    </xf>
    <xf numFmtId="0" fontId="15" fillId="16" borderId="0" xfId="0" applyFont="1" applyFill="1" applyBorder="1" applyProtection="1"/>
    <xf numFmtId="0" fontId="0" fillId="16" borderId="0" xfId="0" applyFill="1" applyProtection="1"/>
    <xf numFmtId="0" fontId="15" fillId="10" borderId="0" xfId="0" applyFont="1" applyFill="1" applyBorder="1" applyAlignment="1" applyProtection="1">
      <alignment horizontal="left" vertical="center"/>
    </xf>
    <xf numFmtId="0" fontId="10" fillId="5" borderId="0" xfId="0" applyFont="1" applyFill="1" applyBorder="1" applyProtection="1"/>
    <xf numFmtId="0" fontId="10" fillId="2" borderId="50" xfId="0" applyFont="1" applyFill="1" applyBorder="1" applyAlignment="1" applyProtection="1">
      <alignment horizontal="center" vertical="center"/>
    </xf>
    <xf numFmtId="0" fontId="0" fillId="2" borderId="50" xfId="0" applyFill="1" applyBorder="1" applyAlignment="1" applyProtection="1">
      <alignment horizontal="center" vertical="center"/>
    </xf>
    <xf numFmtId="1" fontId="10" fillId="2" borderId="50" xfId="0" applyNumberFormat="1" applyFont="1" applyFill="1" applyBorder="1" applyAlignment="1" applyProtection="1">
      <alignment horizontal="center" vertical="center"/>
    </xf>
    <xf numFmtId="1" fontId="0" fillId="2" borderId="50" xfId="0" applyNumberFormat="1" applyFill="1" applyBorder="1" applyAlignment="1" applyProtection="1">
      <alignment horizontal="center" vertical="center"/>
    </xf>
    <xf numFmtId="0" fontId="5" fillId="2" borderId="30" xfId="0" applyFont="1" applyFill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center" vertical="center"/>
    </xf>
    <xf numFmtId="0" fontId="28" fillId="2" borderId="6" xfId="0" applyFont="1" applyFill="1" applyBorder="1" applyAlignment="1" applyProtection="1">
      <alignment horizontal="right" vertical="center"/>
    </xf>
    <xf numFmtId="0" fontId="0" fillId="2" borderId="1" xfId="0" applyFill="1" applyBorder="1" applyAlignment="1" applyProtection="1">
      <alignment horizontal="center" vertical="center"/>
    </xf>
    <xf numFmtId="0" fontId="5" fillId="0" borderId="58" xfId="0" applyFont="1" applyBorder="1" applyAlignment="1" applyProtection="1">
      <alignment horizontal="right" vertical="center"/>
    </xf>
    <xf numFmtId="9" fontId="0" fillId="0" borderId="0" xfId="0" applyNumberFormat="1" applyBorder="1" applyProtection="1"/>
    <xf numFmtId="0" fontId="24" fillId="15" borderId="0" xfId="0" applyFont="1" applyFill="1" applyBorder="1" applyAlignment="1" applyProtection="1">
      <alignment horizontal="right" vertical="center"/>
    </xf>
    <xf numFmtId="0" fontId="10" fillId="15" borderId="0" xfId="0" applyFont="1" applyFill="1" applyBorder="1" applyAlignment="1" applyProtection="1">
      <alignment horizontal="left" vertical="center"/>
    </xf>
    <xf numFmtId="0" fontId="24" fillId="15" borderId="0" xfId="0" applyFont="1" applyFill="1" applyBorder="1" applyAlignment="1" applyProtection="1">
      <alignment horizontal="right"/>
    </xf>
    <xf numFmtId="0" fontId="10" fillId="15" borderId="0" xfId="0" applyFont="1" applyFill="1" applyBorder="1" applyAlignment="1" applyProtection="1">
      <alignment horizontal="center"/>
    </xf>
    <xf numFmtId="3" fontId="30" fillId="10" borderId="0" xfId="0" applyNumberFormat="1" applyFont="1" applyFill="1" applyBorder="1" applyAlignment="1" applyProtection="1">
      <alignment vertical="center"/>
    </xf>
    <xf numFmtId="0" fontId="10" fillId="10" borderId="0" xfId="0" applyFont="1" applyFill="1" applyBorder="1" applyAlignment="1" applyProtection="1">
      <alignment horizontal="left" vertical="center"/>
    </xf>
    <xf numFmtId="3" fontId="30" fillId="10" borderId="0" xfId="0" applyNumberFormat="1" applyFont="1" applyFill="1" applyBorder="1" applyProtection="1"/>
    <xf numFmtId="0" fontId="10" fillId="10" borderId="0" xfId="0" applyFont="1" applyFill="1" applyBorder="1" applyAlignment="1" applyProtection="1">
      <alignment horizontal="center"/>
    </xf>
    <xf numFmtId="0" fontId="32" fillId="0" borderId="0" xfId="0" applyFont="1" applyProtection="1"/>
    <xf numFmtId="0" fontId="45" fillId="0" borderId="4" xfId="0" applyFont="1" applyBorder="1" applyAlignment="1" applyProtection="1">
      <alignment horizontal="center" vertical="center"/>
    </xf>
    <xf numFmtId="0" fontId="26" fillId="0" borderId="0" xfId="0" applyFont="1" applyProtection="1"/>
    <xf numFmtId="0" fontId="27" fillId="0" borderId="0" xfId="0" applyFont="1" applyProtection="1"/>
    <xf numFmtId="0" fontId="10" fillId="0" borderId="37" xfId="2" applyFont="1" applyBorder="1" applyAlignment="1" applyProtection="1">
      <alignment horizontal="center" vertical="center"/>
    </xf>
    <xf numFmtId="0" fontId="10" fillId="0" borderId="2" xfId="2" applyFont="1" applyBorder="1" applyAlignment="1" applyProtection="1">
      <alignment horizontal="center" vertical="center"/>
    </xf>
    <xf numFmtId="0" fontId="14" fillId="0" borderId="0" xfId="0" applyFont="1" applyFill="1" applyProtection="1"/>
    <xf numFmtId="0" fontId="21" fillId="0" borderId="0" xfId="0" applyFont="1" applyAlignment="1" applyProtection="1">
      <alignment horizontal="right"/>
    </xf>
    <xf numFmtId="0" fontId="11" fillId="0" borderId="26" xfId="0" applyFont="1" applyBorder="1" applyAlignment="1" applyProtection="1">
      <alignment horizontal="right" vertical="center"/>
    </xf>
    <xf numFmtId="0" fontId="0" fillId="7" borderId="29" xfId="0" applyFill="1" applyBorder="1" applyProtection="1"/>
    <xf numFmtId="0" fontId="44" fillId="14" borderId="27" xfId="0" applyFont="1" applyFill="1" applyBorder="1" applyAlignment="1" applyProtection="1">
      <alignment horizontal="left" vertical="center"/>
    </xf>
    <xf numFmtId="0" fontId="0" fillId="7" borderId="20" xfId="0" applyFill="1" applyBorder="1" applyProtection="1"/>
    <xf numFmtId="0" fontId="44" fillId="4" borderId="0" xfId="0" applyFont="1" applyFill="1" applyBorder="1" applyAlignment="1" applyProtection="1">
      <alignment horizontal="left" vertical="center"/>
    </xf>
    <xf numFmtId="0" fontId="44" fillId="14" borderId="0" xfId="0" applyFont="1" applyFill="1" applyBorder="1" applyAlignment="1" applyProtection="1">
      <alignment horizontal="left" vertical="center"/>
    </xf>
    <xf numFmtId="0" fontId="0" fillId="7" borderId="66" xfId="0" applyFill="1" applyBorder="1" applyProtection="1"/>
    <xf numFmtId="0" fontId="44" fillId="14" borderId="25" xfId="0" applyFont="1" applyFill="1" applyBorder="1" applyAlignment="1" applyProtection="1">
      <alignment horizontal="left" vertical="center"/>
    </xf>
    <xf numFmtId="0" fontId="0" fillId="12" borderId="26" xfId="0" applyFill="1" applyBorder="1" applyProtection="1"/>
    <xf numFmtId="0" fontId="44" fillId="4" borderId="26" xfId="0" applyFont="1" applyFill="1" applyBorder="1" applyAlignment="1" applyProtection="1">
      <alignment horizontal="left" vertical="center"/>
    </xf>
    <xf numFmtId="0" fontId="0" fillId="12" borderId="60" xfId="0" applyFill="1" applyBorder="1" applyProtection="1"/>
    <xf numFmtId="0" fontId="44" fillId="11" borderId="60" xfId="0" applyFont="1" applyFill="1" applyBorder="1" applyAlignment="1" applyProtection="1">
      <alignment horizontal="left" vertical="center"/>
    </xf>
    <xf numFmtId="0" fontId="44" fillId="2" borderId="60" xfId="0" applyFont="1" applyFill="1" applyBorder="1" applyAlignment="1" applyProtection="1">
      <alignment horizontal="left" vertical="center"/>
    </xf>
    <xf numFmtId="0" fontId="0" fillId="12" borderId="14" xfId="0" applyFill="1" applyBorder="1" applyProtection="1"/>
    <xf numFmtId="0" fontId="44" fillId="11" borderId="14" xfId="0" applyFont="1" applyFill="1" applyBorder="1" applyAlignment="1" applyProtection="1">
      <alignment horizontal="left" vertical="center"/>
    </xf>
    <xf numFmtId="0" fontId="10" fillId="8" borderId="60" xfId="0" applyFont="1" applyFill="1" applyBorder="1" applyProtection="1"/>
    <xf numFmtId="0" fontId="44" fillId="9" borderId="60" xfId="0" applyFont="1" applyFill="1" applyBorder="1" applyAlignment="1" applyProtection="1">
      <alignment horizontal="left" vertical="center"/>
    </xf>
    <xf numFmtId="0" fontId="44" fillId="2" borderId="0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3" fontId="17" fillId="5" borderId="22" xfId="0" applyNumberFormat="1" applyFont="1" applyFill="1" applyBorder="1" applyAlignment="1" applyProtection="1">
      <alignment vertical="center"/>
    </xf>
    <xf numFmtId="3" fontId="17" fillId="5" borderId="22" xfId="0" applyNumberFormat="1" applyFont="1" applyFill="1" applyBorder="1" applyAlignment="1" applyProtection="1">
      <alignment horizontal="right" vertical="center"/>
    </xf>
    <xf numFmtId="3" fontId="17" fillId="10" borderId="22" xfId="0" applyNumberFormat="1" applyFont="1" applyFill="1" applyBorder="1" applyAlignment="1" applyProtection="1">
      <alignment horizontal="right" vertical="center"/>
    </xf>
    <xf numFmtId="3" fontId="17" fillId="10" borderId="79" xfId="0" applyNumberFormat="1" applyFont="1" applyFill="1" applyBorder="1" applyAlignment="1" applyProtection="1">
      <alignment horizontal="right" vertical="center"/>
    </xf>
    <xf numFmtId="3" fontId="17" fillId="5" borderId="22" xfId="0" applyNumberFormat="1" applyFont="1" applyFill="1" applyBorder="1" applyProtection="1"/>
    <xf numFmtId="0" fontId="10" fillId="2" borderId="20" xfId="0" applyFont="1" applyFill="1" applyBorder="1" applyAlignment="1" applyProtection="1">
      <alignment horizontal="right" vertical="center"/>
    </xf>
    <xf numFmtId="0" fontId="10" fillId="2" borderId="72" xfId="0" applyFont="1" applyFill="1" applyBorder="1" applyAlignment="1" applyProtection="1">
      <alignment horizontal="right" vertical="center"/>
    </xf>
    <xf numFmtId="0" fontId="32" fillId="17" borderId="0" xfId="0" applyFont="1" applyFill="1" applyBorder="1" applyProtection="1"/>
    <xf numFmtId="0" fontId="32" fillId="17" borderId="0" xfId="0" applyFont="1" applyFill="1" applyBorder="1" applyAlignment="1" applyProtection="1">
      <alignment horizontal="right" vertical="center"/>
    </xf>
    <xf numFmtId="3" fontId="34" fillId="17" borderId="0" xfId="0" applyNumberFormat="1" applyFont="1" applyFill="1" applyBorder="1" applyAlignment="1" applyProtection="1">
      <alignment horizontal="center" vertical="center"/>
    </xf>
    <xf numFmtId="0" fontId="32" fillId="17" borderId="0" xfId="0" applyFont="1" applyFill="1" applyBorder="1" applyAlignment="1" applyProtection="1">
      <alignment horizontal="left" vertical="center"/>
    </xf>
    <xf numFmtId="0" fontId="0" fillId="18" borderId="0" xfId="0" applyFill="1" applyProtection="1"/>
    <xf numFmtId="0" fontId="5" fillId="18" borderId="0" xfId="0" applyFont="1" applyFill="1" applyBorder="1" applyProtection="1"/>
    <xf numFmtId="0" fontId="16" fillId="18" borderId="0" xfId="0" applyFont="1" applyFill="1" applyBorder="1" applyAlignment="1" applyProtection="1">
      <alignment horizontal="right" vertical="center"/>
    </xf>
    <xf numFmtId="3" fontId="50" fillId="18" borderId="0" xfId="0" applyNumberFormat="1" applyFont="1" applyFill="1" applyBorder="1" applyAlignment="1" applyProtection="1">
      <alignment horizontal="right" vertical="center"/>
      <protection locked="0"/>
    </xf>
    <xf numFmtId="0" fontId="0" fillId="18" borderId="0" xfId="0" applyFill="1" applyBorder="1" applyProtection="1"/>
    <xf numFmtId="0" fontId="10" fillId="18" borderId="0" xfId="0" applyFont="1" applyFill="1" applyBorder="1" applyAlignment="1" applyProtection="1">
      <alignment horizontal="right" vertical="center"/>
    </xf>
    <xf numFmtId="3" fontId="12" fillId="18" borderId="0" xfId="0" applyNumberFormat="1" applyFont="1" applyFill="1" applyBorder="1" applyAlignment="1" applyProtection="1">
      <alignment horizontal="center"/>
    </xf>
    <xf numFmtId="0" fontId="10" fillId="18" borderId="0" xfId="0" applyFont="1" applyFill="1" applyBorder="1" applyAlignment="1" applyProtection="1">
      <alignment horizontal="left" vertical="center"/>
    </xf>
    <xf numFmtId="0" fontId="15" fillId="18" borderId="0" xfId="0" applyFont="1" applyFill="1" applyBorder="1" applyProtection="1"/>
    <xf numFmtId="0" fontId="5" fillId="0" borderId="80" xfId="0" applyFont="1" applyBorder="1" applyAlignment="1" applyProtection="1">
      <alignment horizontal="right" vertical="center"/>
    </xf>
    <xf numFmtId="9" fontId="19" fillId="0" borderId="50" xfId="0" applyNumberFormat="1" applyFont="1" applyBorder="1" applyAlignment="1" applyProtection="1">
      <alignment horizontal="center" vertical="center"/>
      <protection locked="0"/>
    </xf>
    <xf numFmtId="9" fontId="19" fillId="0" borderId="6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5" fillId="0" borderId="20" xfId="0" applyFont="1" applyBorder="1" applyAlignment="1">
      <alignment horizontal="right" vertical="center"/>
    </xf>
    <xf numFmtId="3" fontId="5" fillId="0" borderId="3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3" fontId="5" fillId="0" borderId="80" xfId="0" applyNumberFormat="1" applyFont="1" applyBorder="1" applyAlignment="1" applyProtection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0" fillId="0" borderId="50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5" fillId="0" borderId="0" xfId="0" applyFont="1" applyBorder="1" applyProtection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Protection="1"/>
    <xf numFmtId="0" fontId="10" fillId="0" borderId="0" xfId="0" applyFont="1" applyFill="1" applyBorder="1" applyAlignment="1">
      <alignment horizontal="right" vertical="center"/>
    </xf>
    <xf numFmtId="0" fontId="5" fillId="0" borderId="66" xfId="0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7" xfId="0" applyBorder="1"/>
    <xf numFmtId="0" fontId="3" fillId="2" borderId="85" xfId="1" applyFill="1" applyBorder="1" applyAlignment="1" applyProtection="1">
      <alignment horizontal="right" vertical="center"/>
      <protection locked="0"/>
    </xf>
    <xf numFmtId="0" fontId="3" fillId="18" borderId="85" xfId="1" applyFill="1" applyBorder="1" applyAlignment="1" applyProtection="1">
      <alignment horizontal="right" vertical="center"/>
      <protection locked="0"/>
    </xf>
    <xf numFmtId="0" fontId="44" fillId="18" borderId="0" xfId="0" applyFont="1" applyFill="1" applyBorder="1" applyAlignment="1" applyProtection="1">
      <alignment horizontal="left" vertical="center"/>
    </xf>
    <xf numFmtId="0" fontId="3" fillId="2" borderId="85" xfId="1" quotePrefix="1" applyFill="1" applyBorder="1" applyAlignment="1" applyProtection="1">
      <alignment horizontal="right" vertical="center"/>
      <protection locked="0"/>
    </xf>
    <xf numFmtId="0" fontId="3" fillId="18" borderId="85" xfId="1" quotePrefix="1" applyFill="1" applyBorder="1" applyAlignment="1" applyProtection="1">
      <alignment horizontal="right" vertical="center"/>
      <protection locked="0"/>
    </xf>
    <xf numFmtId="0" fontId="37" fillId="0" borderId="0" xfId="0" applyFont="1" applyBorder="1" applyAlignment="1" applyProtection="1">
      <alignment horizontal="right" vertical="center" wrapText="1"/>
    </xf>
    <xf numFmtId="0" fontId="52" fillId="0" borderId="87" xfId="0" applyFont="1" applyBorder="1" applyAlignment="1" applyProtection="1">
      <alignment horizontal="right" vertical="center"/>
    </xf>
    <xf numFmtId="0" fontId="0" fillId="0" borderId="85" xfId="0" applyBorder="1" applyAlignment="1" applyProtection="1">
      <alignment horizontal="center" vertical="center"/>
    </xf>
    <xf numFmtId="0" fontId="10" fillId="0" borderId="87" xfId="0" applyFont="1" applyBorder="1" applyAlignment="1" applyProtection="1">
      <alignment horizontal="right" vertical="center"/>
    </xf>
    <xf numFmtId="3" fontId="1" fillId="0" borderId="79" xfId="0" applyNumberFormat="1" applyFont="1" applyBorder="1" applyAlignment="1" applyProtection="1">
      <alignment horizontal="center" vertical="center"/>
    </xf>
    <xf numFmtId="3" fontId="1" fillId="0" borderId="85" xfId="0" applyNumberFormat="1" applyFont="1" applyBorder="1" applyAlignment="1" applyProtection="1">
      <alignment horizontal="center" vertical="center"/>
    </xf>
    <xf numFmtId="3" fontId="1" fillId="0" borderId="95" xfId="0" applyNumberFormat="1" applyFont="1" applyBorder="1" applyAlignment="1" applyProtection="1">
      <alignment horizontal="center" vertical="center"/>
    </xf>
    <xf numFmtId="3" fontId="1" fillId="0" borderId="14" xfId="0" applyNumberFormat="1" applyFont="1" applyBorder="1" applyAlignment="1" applyProtection="1">
      <alignment horizontal="center" vertical="center"/>
    </xf>
    <xf numFmtId="0" fontId="3" fillId="0" borderId="85" xfId="1" quotePrefix="1" applyFill="1" applyBorder="1" applyAlignment="1" applyProtection="1">
      <alignment horizontal="right" vertical="center"/>
      <protection locked="0"/>
    </xf>
    <xf numFmtId="0" fontId="44" fillId="0" borderId="87" xfId="0" applyFont="1" applyFill="1" applyBorder="1" applyAlignment="1" applyProtection="1">
      <alignment horizontal="left" vertical="center"/>
    </xf>
    <xf numFmtId="0" fontId="44" fillId="19" borderId="25" xfId="0" applyFont="1" applyFill="1" applyBorder="1" applyAlignment="1" applyProtection="1">
      <alignment horizontal="left" vertical="center"/>
    </xf>
    <xf numFmtId="0" fontId="10" fillId="8" borderId="85" xfId="0" applyFont="1" applyFill="1" applyBorder="1" applyProtection="1"/>
    <xf numFmtId="0" fontId="10" fillId="0" borderId="86" xfId="2" applyFont="1" applyBorder="1" applyAlignment="1" applyProtection="1">
      <alignment horizontal="center" vertical="center"/>
    </xf>
    <xf numFmtId="0" fontId="10" fillId="0" borderId="92" xfId="2" applyFont="1" applyBorder="1" applyAlignment="1" applyProtection="1">
      <alignment horizontal="center" vertical="center"/>
    </xf>
    <xf numFmtId="0" fontId="10" fillId="0" borderId="94" xfId="2" applyFont="1" applyBorder="1" applyAlignment="1" applyProtection="1">
      <alignment horizontal="center" vertical="center"/>
    </xf>
    <xf numFmtId="0" fontId="11" fillId="0" borderId="40" xfId="2" applyFont="1" applyBorder="1" applyAlignment="1" applyProtection="1">
      <alignment horizontal="right" vertical="center"/>
    </xf>
    <xf numFmtId="0" fontId="52" fillId="0" borderId="16" xfId="0" quotePrefix="1" applyFont="1" applyBorder="1" applyAlignment="1" applyProtection="1">
      <alignment horizontal="right" vertical="center"/>
    </xf>
    <xf numFmtId="0" fontId="22" fillId="0" borderId="16" xfId="0" applyFont="1" applyBorder="1" applyAlignment="1" applyProtection="1">
      <alignment horizontal="right" vertical="center"/>
    </xf>
    <xf numFmtId="0" fontId="10" fillId="0" borderId="50" xfId="2" applyFont="1" applyBorder="1" applyAlignment="1" applyProtection="1">
      <alignment horizontal="center" vertical="center"/>
    </xf>
    <xf numFmtId="0" fontId="10" fillId="0" borderId="85" xfId="2" applyFont="1" applyBorder="1" applyAlignment="1" applyProtection="1">
      <alignment horizontal="center" vertical="center"/>
    </xf>
    <xf numFmtId="0" fontId="10" fillId="0" borderId="57" xfId="2" applyFont="1" applyBorder="1" applyAlignment="1" applyProtection="1">
      <alignment horizontal="center" vertical="center"/>
    </xf>
    <xf numFmtId="0" fontId="10" fillId="0" borderId="56" xfId="2" applyFont="1" applyBorder="1" applyAlignment="1" applyProtection="1">
      <alignment horizontal="center" vertical="center"/>
    </xf>
    <xf numFmtId="0" fontId="0" fillId="0" borderId="97" xfId="0" applyBorder="1" applyAlignment="1" applyProtection="1">
      <alignment horizontal="center" vertical="center"/>
    </xf>
    <xf numFmtId="0" fontId="10" fillId="0" borderId="98" xfId="2" applyFont="1" applyBorder="1" applyAlignment="1" applyProtection="1">
      <alignment horizontal="center" vertical="center"/>
    </xf>
    <xf numFmtId="0" fontId="10" fillId="20" borderId="0" xfId="0" applyFont="1" applyFill="1" applyProtection="1"/>
    <xf numFmtId="0" fontId="10" fillId="20" borderId="0" xfId="0" applyFont="1" applyFill="1" applyAlignment="1" applyProtection="1">
      <alignment horizontal="right" vertical="center"/>
    </xf>
    <xf numFmtId="3" fontId="11" fillId="20" borderId="0" xfId="0" applyNumberFormat="1" applyFont="1" applyFill="1" applyAlignment="1" applyProtection="1">
      <alignment horizontal="center" vertical="center"/>
    </xf>
    <xf numFmtId="0" fontId="10" fillId="20" borderId="0" xfId="0" applyFont="1" applyFill="1" applyAlignment="1" applyProtection="1">
      <alignment horizontal="left" vertical="center"/>
    </xf>
    <xf numFmtId="0" fontId="32" fillId="13" borderId="0" xfId="0" applyFont="1" applyFill="1" applyProtection="1"/>
    <xf numFmtId="0" fontId="32" fillId="13" borderId="0" xfId="0" applyFont="1" applyFill="1" applyAlignment="1" applyProtection="1">
      <alignment horizontal="right" vertical="center"/>
    </xf>
    <xf numFmtId="3" fontId="34" fillId="13" borderId="0" xfId="0" applyNumberFormat="1" applyFont="1" applyFill="1" applyBorder="1" applyAlignment="1" applyProtection="1">
      <alignment horizontal="center" vertical="center"/>
    </xf>
    <xf numFmtId="0" fontId="32" fillId="13" borderId="0" xfId="0" applyFont="1" applyFill="1" applyAlignment="1" applyProtection="1">
      <alignment horizontal="left" vertical="center"/>
    </xf>
    <xf numFmtId="0" fontId="3" fillId="21" borderId="26" xfId="1" quotePrefix="1" applyFill="1" applyBorder="1" applyAlignment="1" applyProtection="1">
      <alignment horizontal="right" vertical="center"/>
      <protection locked="0"/>
    </xf>
    <xf numFmtId="0" fontId="44" fillId="21" borderId="29" xfId="0" applyFont="1" applyFill="1" applyBorder="1" applyAlignment="1" applyProtection="1">
      <alignment horizontal="left" vertical="center"/>
    </xf>
    <xf numFmtId="0" fontId="3" fillId="21" borderId="85" xfId="1" quotePrefix="1" applyFill="1" applyBorder="1" applyAlignment="1" applyProtection="1">
      <alignment horizontal="right" vertical="center"/>
      <protection locked="0"/>
    </xf>
    <xf numFmtId="0" fontId="44" fillId="21" borderId="0" xfId="0" applyFont="1" applyFill="1" applyBorder="1" applyAlignment="1" applyProtection="1">
      <alignment horizontal="left" vertical="center"/>
    </xf>
    <xf numFmtId="0" fontId="3" fillId="21" borderId="25" xfId="1" quotePrefix="1" applyFill="1" applyBorder="1" applyAlignment="1" applyProtection="1">
      <alignment horizontal="right" vertical="center"/>
      <protection locked="0"/>
    </xf>
    <xf numFmtId="0" fontId="44" fillId="21" borderId="25" xfId="0" applyFont="1" applyFill="1" applyBorder="1" applyAlignment="1" applyProtection="1">
      <alignment horizontal="left" vertical="center"/>
    </xf>
    <xf numFmtId="0" fontId="3" fillId="0" borderId="85" xfId="1" applyFont="1" applyFill="1" applyBorder="1" applyAlignment="1" applyProtection="1">
      <alignment horizontal="right" vertical="center"/>
      <protection locked="0"/>
    </xf>
    <xf numFmtId="0" fontId="44" fillId="0" borderId="0" xfId="0" applyFont="1" applyFill="1" applyBorder="1" applyAlignment="1" applyProtection="1">
      <alignment horizontal="left" vertical="center"/>
    </xf>
    <xf numFmtId="0" fontId="3" fillId="19" borderId="14" xfId="1" applyFont="1" applyFill="1" applyBorder="1" applyAlignment="1" applyProtection="1">
      <alignment horizontal="right" vertical="center"/>
      <protection locked="0"/>
    </xf>
    <xf numFmtId="0" fontId="0" fillId="0" borderId="85" xfId="0" applyFill="1" applyBorder="1" applyAlignment="1">
      <alignment horizontal="center" vertical="center"/>
    </xf>
    <xf numFmtId="3" fontId="1" fillId="0" borderId="99" xfId="0" applyNumberFormat="1" applyFont="1" applyBorder="1" applyAlignment="1" applyProtection="1">
      <alignment horizontal="center" vertical="center"/>
    </xf>
    <xf numFmtId="0" fontId="0" fillId="0" borderId="86" xfId="0" applyFill="1" applyBorder="1" applyAlignment="1">
      <alignment horizontal="center" vertical="center"/>
    </xf>
    <xf numFmtId="0" fontId="55" fillId="5" borderId="54" xfId="0" applyFont="1" applyFill="1" applyBorder="1" applyAlignment="1" applyProtection="1">
      <alignment horizontal="center" vertical="center"/>
    </xf>
    <xf numFmtId="1" fontId="55" fillId="5" borderId="47" xfId="0" applyNumberFormat="1" applyFont="1" applyFill="1" applyBorder="1" applyAlignment="1" applyProtection="1">
      <alignment horizontal="center" vertical="center"/>
    </xf>
    <xf numFmtId="1" fontId="55" fillId="5" borderId="55" xfId="0" applyNumberFormat="1" applyFont="1" applyFill="1" applyBorder="1" applyAlignment="1" applyProtection="1">
      <alignment horizontal="center" vertical="center"/>
    </xf>
    <xf numFmtId="1" fontId="55" fillId="5" borderId="100" xfId="0" applyNumberFormat="1" applyFont="1" applyFill="1" applyBorder="1" applyAlignment="1" applyProtection="1">
      <alignment horizontal="center" vertical="center"/>
    </xf>
    <xf numFmtId="3" fontId="1" fillId="0" borderId="88" xfId="0" applyNumberFormat="1" applyFont="1" applyFill="1" applyBorder="1" applyAlignment="1" applyProtection="1">
      <alignment horizontal="center" vertical="center"/>
    </xf>
    <xf numFmtId="0" fontId="5" fillId="0" borderId="101" xfId="2" applyFont="1" applyBorder="1" applyAlignment="1" applyProtection="1">
      <alignment horizontal="right" vertical="center"/>
    </xf>
    <xf numFmtId="0" fontId="5" fillId="0" borderId="40" xfId="0" applyFont="1" applyFill="1" applyBorder="1" applyAlignment="1">
      <alignment horizontal="right" vertical="center"/>
    </xf>
    <xf numFmtId="1" fontId="56" fillId="5" borderId="100" xfId="0" applyNumberFormat="1" applyFont="1" applyFill="1" applyBorder="1" applyAlignment="1">
      <alignment horizontal="center" vertical="center"/>
    </xf>
    <xf numFmtId="1" fontId="56" fillId="5" borderId="55" xfId="0" applyNumberFormat="1" applyFont="1" applyFill="1" applyBorder="1" applyAlignment="1">
      <alignment horizontal="center" vertical="center"/>
    </xf>
    <xf numFmtId="0" fontId="37" fillId="0" borderId="0" xfId="0" applyFont="1" applyBorder="1" applyAlignment="1" applyProtection="1">
      <alignment horizontal="right" vertical="center" wrapText="1"/>
    </xf>
    <xf numFmtId="3" fontId="1" fillId="0" borderId="37" xfId="0" applyNumberFormat="1" applyFont="1" applyBorder="1" applyAlignment="1" applyProtection="1">
      <alignment horizontal="center" vertical="center"/>
    </xf>
    <xf numFmtId="0" fontId="10" fillId="0" borderId="34" xfId="0" applyFont="1" applyBorder="1" applyAlignment="1" applyProtection="1">
      <alignment horizontal="right" vertical="center"/>
    </xf>
    <xf numFmtId="0" fontId="0" fillId="0" borderId="37" xfId="0" applyBorder="1" applyAlignment="1">
      <alignment horizontal="center" vertical="center"/>
    </xf>
    <xf numFmtId="0" fontId="10" fillId="0" borderId="36" xfId="0" applyFont="1" applyBorder="1" applyAlignment="1">
      <alignment horizontal="right" vertical="center"/>
    </xf>
    <xf numFmtId="3" fontId="9" fillId="5" borderId="103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19" borderId="0" xfId="1" quotePrefix="1" applyFill="1" applyBorder="1" applyAlignment="1" applyProtection="1">
      <alignment horizontal="right" vertical="center"/>
      <protection locked="0"/>
    </xf>
    <xf numFmtId="0" fontId="44" fillId="19" borderId="0" xfId="0" applyFont="1" applyFill="1" applyBorder="1" applyAlignment="1" applyProtection="1">
      <alignment horizontal="left" vertical="center"/>
    </xf>
    <xf numFmtId="0" fontId="58" fillId="0" borderId="3" xfId="0" applyFont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 vertical="center"/>
    </xf>
    <xf numFmtId="0" fontId="22" fillId="2" borderId="4" xfId="0" applyFont="1" applyFill="1" applyBorder="1" applyAlignment="1" applyProtection="1">
      <alignment horizontal="center" vertical="center"/>
    </xf>
    <xf numFmtId="0" fontId="58" fillId="0" borderId="4" xfId="0" applyFont="1" applyBorder="1" applyAlignment="1" applyProtection="1">
      <alignment horizontal="center" vertical="center"/>
    </xf>
    <xf numFmtId="0" fontId="58" fillId="0" borderId="19" xfId="0" applyFont="1" applyBorder="1" applyAlignment="1" applyProtection="1">
      <alignment horizontal="center" vertical="center"/>
    </xf>
    <xf numFmtId="0" fontId="58" fillId="0" borderId="12" xfId="0" applyFont="1" applyBorder="1" applyAlignment="1" applyProtection="1">
      <alignment horizontal="center" vertical="center"/>
    </xf>
    <xf numFmtId="3" fontId="9" fillId="5" borderId="35" xfId="2" applyNumberFormat="1" applyFont="1" applyFill="1" applyBorder="1" applyAlignment="1" applyProtection="1">
      <alignment horizontal="center" vertical="center"/>
    </xf>
    <xf numFmtId="0" fontId="43" fillId="20" borderId="28" xfId="0" applyFont="1" applyFill="1" applyBorder="1" applyAlignment="1" applyProtection="1">
      <alignment horizontal="center" vertical="center"/>
    </xf>
    <xf numFmtId="0" fontId="43" fillId="20" borderId="37" xfId="0" applyFont="1" applyFill="1" applyBorder="1" applyAlignment="1" applyProtection="1">
      <alignment horizontal="center" vertical="center"/>
    </xf>
    <xf numFmtId="0" fontId="43" fillId="20" borderId="15" xfId="0" applyFont="1" applyFill="1" applyBorder="1" applyAlignment="1" applyProtection="1">
      <alignment horizontal="center" vertical="center"/>
    </xf>
    <xf numFmtId="0" fontId="53" fillId="20" borderId="29" xfId="0" applyFont="1" applyFill="1" applyBorder="1" applyAlignment="1" applyProtection="1">
      <alignment horizontal="center"/>
    </xf>
    <xf numFmtId="0" fontId="53" fillId="20" borderId="87" xfId="0" applyFont="1" applyFill="1" applyBorder="1" applyAlignment="1" applyProtection="1">
      <alignment horizontal="center"/>
    </xf>
    <xf numFmtId="0" fontId="53" fillId="20" borderId="66" xfId="0" applyFont="1" applyFill="1" applyBorder="1" applyAlignment="1" applyProtection="1">
      <alignment horizontal="center"/>
    </xf>
    <xf numFmtId="0" fontId="53" fillId="13" borderId="29" xfId="0" applyFont="1" applyFill="1" applyBorder="1" applyAlignment="1" applyProtection="1">
      <alignment horizontal="center"/>
    </xf>
    <xf numFmtId="0" fontId="53" fillId="13" borderId="20" xfId="0" applyFont="1" applyFill="1" applyBorder="1" applyAlignment="1" applyProtection="1">
      <alignment horizontal="center"/>
    </xf>
    <xf numFmtId="0" fontId="53" fillId="13" borderId="66" xfId="0" applyFont="1" applyFill="1" applyBorder="1" applyAlignment="1" applyProtection="1">
      <alignment horizontal="center"/>
    </xf>
    <xf numFmtId="0" fontId="11" fillId="0" borderId="64" xfId="0" applyFont="1" applyBorder="1" applyAlignment="1" applyProtection="1">
      <alignment horizontal="left" vertical="center"/>
    </xf>
    <xf numFmtId="0" fontId="11" fillId="0" borderId="65" xfId="0" applyFont="1" applyBorder="1" applyAlignment="1" applyProtection="1">
      <alignment horizontal="left" vertical="center"/>
    </xf>
    <xf numFmtId="0" fontId="42" fillId="0" borderId="0" xfId="0" applyFont="1" applyAlignment="1" applyProtection="1">
      <alignment horizontal="left" vertical="center"/>
    </xf>
    <xf numFmtId="0" fontId="43" fillId="7" borderId="26" xfId="0" applyFont="1" applyFill="1" applyBorder="1" applyAlignment="1" applyProtection="1">
      <alignment horizontal="center" vertical="center" wrapText="1"/>
    </xf>
    <xf numFmtId="0" fontId="43" fillId="7" borderId="60" xfId="0" applyFont="1" applyFill="1" applyBorder="1" applyAlignment="1" applyProtection="1">
      <alignment horizontal="center" vertical="center" wrapText="1"/>
    </xf>
    <xf numFmtId="0" fontId="43" fillId="7" borderId="14" xfId="0" applyFont="1" applyFill="1" applyBorder="1" applyAlignment="1" applyProtection="1">
      <alignment horizontal="center" vertical="center" wrapText="1"/>
    </xf>
    <xf numFmtId="0" fontId="43" fillId="12" borderId="26" xfId="0" applyFont="1" applyFill="1" applyBorder="1" applyAlignment="1" applyProtection="1">
      <alignment horizontal="center" vertical="center" wrapText="1"/>
    </xf>
    <xf numFmtId="0" fontId="43" fillId="12" borderId="60" xfId="0" applyFont="1" applyFill="1" applyBorder="1" applyAlignment="1" applyProtection="1">
      <alignment horizontal="center" vertical="center" wrapText="1"/>
    </xf>
    <xf numFmtId="0" fontId="43" fillId="12" borderId="14" xfId="0" applyFont="1" applyFill="1" applyBorder="1" applyAlignment="1" applyProtection="1">
      <alignment horizontal="center" vertical="center" wrapText="1"/>
    </xf>
    <xf numFmtId="0" fontId="43" fillId="8" borderId="60" xfId="0" applyFont="1" applyFill="1" applyBorder="1" applyAlignment="1" applyProtection="1">
      <alignment horizontal="center" vertical="center" wrapText="1"/>
    </xf>
    <xf numFmtId="0" fontId="43" fillId="8" borderId="85" xfId="0" applyFont="1" applyFill="1" applyBorder="1" applyAlignment="1" applyProtection="1">
      <alignment horizontal="center" vertical="center" wrapText="1"/>
    </xf>
    <xf numFmtId="0" fontId="43" fillId="8" borderId="14" xfId="0" applyFont="1" applyFill="1" applyBorder="1" applyAlignment="1" applyProtection="1">
      <alignment horizontal="center" vertical="center" wrapText="1"/>
    </xf>
    <xf numFmtId="0" fontId="54" fillId="17" borderId="37" xfId="0" applyFont="1" applyFill="1" applyBorder="1" applyAlignment="1" applyProtection="1">
      <alignment horizontal="center" vertical="center" wrapText="1"/>
    </xf>
    <xf numFmtId="0" fontId="54" fillId="17" borderId="15" xfId="0" applyFont="1" applyFill="1" applyBorder="1" applyAlignment="1" applyProtection="1">
      <alignment horizontal="center" vertical="center" wrapText="1"/>
    </xf>
    <xf numFmtId="0" fontId="54" fillId="13" borderId="79" xfId="0" applyFont="1" applyFill="1" applyBorder="1" applyAlignment="1" applyProtection="1">
      <alignment horizontal="center" vertical="center" wrapText="1"/>
    </xf>
    <xf numFmtId="0" fontId="54" fillId="13" borderId="65" xfId="0" applyFont="1" applyFill="1" applyBorder="1" applyAlignment="1" applyProtection="1">
      <alignment horizontal="center" vertical="center" wrapText="1"/>
    </xf>
    <xf numFmtId="0" fontId="31" fillId="7" borderId="0" xfId="0" applyFont="1" applyFill="1" applyBorder="1" applyAlignment="1" applyProtection="1">
      <alignment horizontal="left" vertical="center"/>
    </xf>
    <xf numFmtId="0" fontId="38" fillId="0" borderId="0" xfId="0" applyFont="1" applyBorder="1" applyAlignment="1" applyProtection="1">
      <alignment horizontal="right" vertical="center" wrapText="1"/>
    </xf>
    <xf numFmtId="0" fontId="7" fillId="5" borderId="0" xfId="0" applyFont="1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left" vertical="center"/>
      <protection locked="0"/>
    </xf>
    <xf numFmtId="3" fontId="0" fillId="0" borderId="25" xfId="0" applyNumberForma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right" vertical="center" wrapText="1"/>
    </xf>
    <xf numFmtId="0" fontId="36" fillId="0" borderId="0" xfId="0" applyFont="1" applyFill="1" applyAlignment="1" applyProtection="1">
      <alignment horizontal="center" vertical="center"/>
    </xf>
    <xf numFmtId="0" fontId="37" fillId="0" borderId="20" xfId="0" applyFont="1" applyBorder="1" applyAlignment="1" applyProtection="1">
      <alignment horizontal="right" vertical="center" wrapText="1"/>
    </xf>
    <xf numFmtId="0" fontId="40" fillId="15" borderId="0" xfId="0" applyFont="1" applyFill="1" applyAlignment="1" applyProtection="1">
      <alignment horizontal="center" vertical="center" wrapText="1"/>
    </xf>
    <xf numFmtId="0" fontId="31" fillId="12" borderId="0" xfId="0" applyFont="1" applyFill="1" applyBorder="1" applyAlignment="1" applyProtection="1">
      <alignment horizontal="left" vertical="center"/>
    </xf>
    <xf numFmtId="0" fontId="5" fillId="2" borderId="67" xfId="0" applyFont="1" applyFill="1" applyBorder="1" applyAlignment="1" applyProtection="1">
      <alignment horizontal="right" vertical="center"/>
    </xf>
    <xf numFmtId="0" fontId="5" fillId="2" borderId="68" xfId="0" applyFont="1" applyFill="1" applyBorder="1" applyAlignment="1" applyProtection="1">
      <alignment horizontal="right" vertical="center"/>
    </xf>
    <xf numFmtId="0" fontId="1" fillId="2" borderId="70" xfId="0" applyFont="1" applyFill="1" applyBorder="1" applyAlignment="1" applyProtection="1">
      <alignment horizontal="right" vertical="center"/>
    </xf>
    <xf numFmtId="0" fontId="1" fillId="2" borderId="71" xfId="0" applyFont="1" applyFill="1" applyBorder="1" applyAlignment="1" applyProtection="1">
      <alignment horizontal="right" vertical="center"/>
    </xf>
    <xf numFmtId="0" fontId="10" fillId="2" borderId="20" xfId="0" applyFont="1" applyFill="1" applyBorder="1" applyAlignment="1" applyProtection="1">
      <alignment horizontal="right" vertical="center"/>
    </xf>
    <xf numFmtId="0" fontId="10" fillId="2" borderId="72" xfId="0" applyFont="1" applyFill="1" applyBorder="1" applyAlignment="1" applyProtection="1">
      <alignment horizontal="right" vertical="center"/>
    </xf>
    <xf numFmtId="0" fontId="10" fillId="2" borderId="73" xfId="0" applyFont="1" applyFill="1" applyBorder="1" applyAlignment="1" applyProtection="1">
      <alignment horizontal="right" vertical="center"/>
    </xf>
    <xf numFmtId="0" fontId="10" fillId="2" borderId="74" xfId="0" applyFont="1" applyFill="1" applyBorder="1" applyAlignment="1" applyProtection="1">
      <alignment horizontal="right" vertical="center"/>
    </xf>
    <xf numFmtId="0" fontId="10" fillId="2" borderId="50" xfId="0" applyFont="1" applyFill="1" applyBorder="1" applyAlignment="1" applyProtection="1">
      <alignment horizontal="center" vertical="center" shrinkToFit="1"/>
    </xf>
    <xf numFmtId="0" fontId="10" fillId="2" borderId="75" xfId="0" applyFont="1" applyFill="1" applyBorder="1" applyAlignment="1" applyProtection="1">
      <alignment horizontal="center" vertical="center" shrinkToFit="1"/>
    </xf>
    <xf numFmtId="0" fontId="5" fillId="2" borderId="76" xfId="0" applyFont="1" applyFill="1" applyBorder="1" applyAlignment="1" applyProtection="1">
      <alignment horizontal="right" vertical="center"/>
    </xf>
    <xf numFmtId="0" fontId="5" fillId="2" borderId="77" xfId="0" applyFont="1" applyFill="1" applyBorder="1" applyAlignment="1" applyProtection="1">
      <alignment horizontal="right" vertical="center"/>
    </xf>
    <xf numFmtId="0" fontId="10" fillId="0" borderId="78" xfId="0" applyFont="1" applyBorder="1" applyAlignment="1" applyProtection="1">
      <alignment horizontal="right" vertical="top"/>
    </xf>
    <xf numFmtId="0" fontId="0" fillId="0" borderId="25" xfId="0" applyFill="1" applyBorder="1" applyAlignment="1" applyProtection="1">
      <alignment horizontal="left" vertical="center"/>
      <protection locked="0"/>
    </xf>
    <xf numFmtId="0" fontId="0" fillId="0" borderId="82" xfId="0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center" vertical="center"/>
    </xf>
    <xf numFmtId="3" fontId="22" fillId="0" borderId="0" xfId="0" applyNumberFormat="1" applyFont="1" applyBorder="1" applyAlignment="1" applyProtection="1">
      <alignment horizontal="center" vertical="center"/>
    </xf>
    <xf numFmtId="0" fontId="31" fillId="8" borderId="0" xfId="0" applyFont="1" applyFill="1" applyBorder="1" applyAlignment="1" applyProtection="1">
      <alignment horizontal="left" vertical="center"/>
    </xf>
    <xf numFmtId="3" fontId="9" fillId="0" borderId="96" xfId="2" applyNumberFormat="1" applyFont="1" applyBorder="1" applyAlignment="1" applyProtection="1">
      <alignment horizontal="center" vertical="center"/>
    </xf>
    <xf numFmtId="3" fontId="9" fillId="0" borderId="39" xfId="2" applyNumberFormat="1" applyFont="1" applyBorder="1" applyAlignment="1" applyProtection="1">
      <alignment horizontal="center" vertical="center"/>
    </xf>
    <xf numFmtId="3" fontId="0" fillId="0" borderId="78" xfId="0" applyNumberFormat="1" applyBorder="1" applyAlignment="1" applyProtection="1">
      <alignment horizontal="center" vertical="center"/>
    </xf>
    <xf numFmtId="0" fontId="48" fillId="0" borderId="0" xfId="0" applyFont="1" applyBorder="1" applyAlignment="1" applyProtection="1">
      <alignment horizontal="right" vertical="center" wrapText="1"/>
    </xf>
    <xf numFmtId="0" fontId="48" fillId="0" borderId="83" xfId="0" applyFont="1" applyBorder="1" applyAlignment="1" applyProtection="1">
      <alignment horizontal="right" vertical="center" wrapText="1"/>
    </xf>
    <xf numFmtId="0" fontId="54" fillId="8" borderId="0" xfId="0" applyFont="1" applyFill="1" applyBorder="1" applyAlignment="1" applyProtection="1">
      <alignment horizontal="left" vertical="center"/>
    </xf>
    <xf numFmtId="0" fontId="31" fillId="17" borderId="0" xfId="0" applyFont="1" applyFill="1" applyBorder="1" applyAlignment="1" applyProtection="1">
      <alignment horizontal="left" vertical="center"/>
    </xf>
    <xf numFmtId="2" fontId="0" fillId="0" borderId="84" xfId="0" applyNumberFormat="1" applyBorder="1" applyAlignment="1">
      <alignment horizontal="center" vertical="center"/>
    </xf>
    <xf numFmtId="2" fontId="0" fillId="0" borderId="82" xfId="0" applyNumberFormat="1" applyBorder="1" applyAlignment="1">
      <alignment horizontal="center" vertical="center"/>
    </xf>
    <xf numFmtId="2" fontId="0" fillId="0" borderId="65" xfId="0" applyNumberFormat="1" applyBorder="1" applyAlignment="1">
      <alignment horizontal="center" vertical="center"/>
    </xf>
    <xf numFmtId="3" fontId="9" fillId="5" borderId="65" xfId="2" applyNumberFormat="1" applyFont="1" applyFill="1" applyBorder="1" applyAlignment="1" applyProtection="1">
      <alignment horizontal="center" vertical="center"/>
    </xf>
    <xf numFmtId="3" fontId="9" fillId="5" borderId="79" xfId="2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64" xfId="0" applyNumberFormat="1" applyBorder="1" applyAlignment="1" applyProtection="1">
      <alignment horizontal="center" vertical="center"/>
    </xf>
    <xf numFmtId="2" fontId="0" fillId="0" borderId="82" xfId="0" applyNumberFormat="1" applyBorder="1" applyAlignment="1" applyProtection="1">
      <alignment horizontal="center" vertical="center"/>
    </xf>
    <xf numFmtId="2" fontId="0" fillId="0" borderId="65" xfId="0" applyNumberFormat="1" applyBorder="1" applyAlignment="1" applyProtection="1">
      <alignment horizontal="center" vertical="center"/>
    </xf>
    <xf numFmtId="2" fontId="0" fillId="0" borderId="102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1" fontId="51" fillId="5" borderId="84" xfId="0" applyNumberFormat="1" applyFont="1" applyFill="1" applyBorder="1" applyAlignment="1">
      <alignment horizontal="center" vertical="center"/>
    </xf>
    <xf numFmtId="1" fontId="51" fillId="5" borderId="82" xfId="0" applyNumberFormat="1" applyFont="1" applyFill="1" applyBorder="1" applyAlignment="1">
      <alignment horizontal="center" vertical="center"/>
    </xf>
    <xf numFmtId="1" fontId="51" fillId="5" borderId="65" xfId="0" applyNumberFormat="1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89" xfId="0" applyBorder="1" applyAlignment="1" applyProtection="1">
      <alignment horizontal="center" vertical="center"/>
    </xf>
    <xf numFmtId="0" fontId="0" fillId="0" borderId="90" xfId="0" applyBorder="1" applyAlignment="1" applyProtection="1">
      <alignment horizontal="center" vertical="center"/>
    </xf>
    <xf numFmtId="0" fontId="0" fillId="0" borderId="91" xfId="0" applyBorder="1" applyAlignment="1" applyProtection="1">
      <alignment horizontal="center" vertical="center"/>
    </xf>
    <xf numFmtId="3" fontId="9" fillId="5" borderId="82" xfId="2" applyNumberFormat="1" applyFont="1" applyFill="1" applyBorder="1" applyAlignment="1" applyProtection="1">
      <alignment horizontal="center" vertical="center"/>
    </xf>
    <xf numFmtId="0" fontId="51" fillId="5" borderId="84" xfId="0" applyFont="1" applyFill="1" applyBorder="1" applyAlignment="1">
      <alignment horizontal="center" vertical="center"/>
    </xf>
    <xf numFmtId="0" fontId="51" fillId="5" borderId="82" xfId="0" applyFont="1" applyFill="1" applyBorder="1" applyAlignment="1">
      <alignment horizontal="center" vertical="center"/>
    </xf>
    <xf numFmtId="0" fontId="51" fillId="5" borderId="65" xfId="0" applyFont="1" applyFill="1" applyBorder="1" applyAlignment="1">
      <alignment horizontal="center" vertical="center"/>
    </xf>
    <xf numFmtId="3" fontId="9" fillId="5" borderId="84" xfId="2" applyNumberFormat="1" applyFont="1" applyFill="1" applyBorder="1" applyAlignment="1" applyProtection="1">
      <alignment horizontal="center" vertical="center"/>
    </xf>
    <xf numFmtId="3" fontId="9" fillId="5" borderId="104" xfId="2" applyNumberFormat="1" applyFont="1" applyFill="1" applyBorder="1" applyAlignment="1" applyProtection="1">
      <alignment horizontal="center" vertical="center"/>
    </xf>
    <xf numFmtId="0" fontId="0" fillId="0" borderId="92" xfId="0" applyBorder="1" applyAlignment="1" applyProtection="1">
      <alignment horizontal="center" vertical="center"/>
    </xf>
    <xf numFmtId="0" fontId="0" fillId="0" borderId="93" xfId="0" applyBorder="1" applyAlignment="1" applyProtection="1">
      <alignment horizontal="center" vertical="center"/>
    </xf>
    <xf numFmtId="0" fontId="0" fillId="0" borderId="94" xfId="0" applyBorder="1" applyAlignment="1" applyProtection="1">
      <alignment horizontal="center" vertical="center"/>
    </xf>
    <xf numFmtId="3" fontId="9" fillId="5" borderId="100" xfId="2" applyNumberFormat="1" applyFont="1" applyFill="1" applyBorder="1" applyAlignment="1" applyProtection="1">
      <alignment horizontal="center" vertical="center"/>
    </xf>
    <xf numFmtId="3" fontId="9" fillId="5" borderId="35" xfId="2" applyNumberFormat="1" applyFont="1" applyFill="1" applyBorder="1" applyAlignment="1" applyProtection="1">
      <alignment horizontal="center" vertical="center"/>
    </xf>
    <xf numFmtId="0" fontId="31" fillId="13" borderId="0" xfId="0" applyFont="1" applyFill="1" applyBorder="1" applyAlignment="1" applyProtection="1">
      <alignment horizontal="left" vertical="center"/>
    </xf>
    <xf numFmtId="0" fontId="47" fillId="20" borderId="0" xfId="0" applyFont="1" applyFill="1" applyBorder="1" applyAlignment="1" applyProtection="1">
      <alignment horizontal="left" vertical="center"/>
    </xf>
    <xf numFmtId="0" fontId="3" fillId="9" borderId="85" xfId="1" applyFill="1" applyBorder="1" applyAlignment="1" applyProtection="1">
      <alignment horizontal="right" vertical="center"/>
      <protection locked="0"/>
    </xf>
    <xf numFmtId="0" fontId="44" fillId="9" borderId="85" xfId="0" applyFont="1" applyFill="1" applyBorder="1" applyAlignment="1" applyProtection="1">
      <alignment horizontal="left" vertical="center"/>
    </xf>
    <xf numFmtId="0" fontId="3" fillId="9" borderId="14" xfId="1" applyFill="1" applyBorder="1" applyAlignment="1" applyProtection="1">
      <alignment horizontal="right" vertical="center"/>
      <protection locked="0"/>
    </xf>
    <xf numFmtId="0" fontId="44" fillId="9" borderId="14" xfId="0" applyFont="1" applyFill="1" applyBorder="1" applyAlignment="1" applyProtection="1">
      <alignment horizontal="left" vertical="center"/>
    </xf>
    <xf numFmtId="0" fontId="37" fillId="0" borderId="0" xfId="0" applyFont="1" applyBorder="1" applyAlignment="1" applyProtection="1">
      <alignment horizontal="left"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9F9F"/>
      <color rgb="FF0000FF"/>
      <color rgb="FFFF8585"/>
      <color rgb="FFFD4E31"/>
      <color rgb="FFC198E0"/>
      <color rgb="FFFFFFCC"/>
      <color rgb="FFFFFFFF"/>
      <color rgb="FF3F22EA"/>
      <color rgb="FF0C2CB4"/>
      <color rgb="FF300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3.em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8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3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3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5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6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27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7.jpe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7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7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27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3.jpe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3.jpe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.jpe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5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3.jpe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.jpe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35.jpe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36.jpe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3.jpe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6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2107575</xdr:colOff>
      <xdr:row>1</xdr:row>
      <xdr:rowOff>720000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14325" y="304800"/>
          <a:ext cx="3222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62911</xdr:colOff>
      <xdr:row>34</xdr:row>
      <xdr:rowOff>0</xdr:rowOff>
    </xdr:from>
    <xdr:to>
      <xdr:col>5</xdr:col>
      <xdr:colOff>0</xdr:colOff>
      <xdr:row>44</xdr:row>
      <xdr:rowOff>46425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936" y="5715000"/>
          <a:ext cx="3061289" cy="198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424200</xdr:colOff>
      <xdr:row>24</xdr:row>
      <xdr:rowOff>0</xdr:rowOff>
    </xdr:from>
    <xdr:to>
      <xdr:col>5</xdr:col>
      <xdr:colOff>0</xdr:colOff>
      <xdr:row>37</xdr:row>
      <xdr:rowOff>61575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225" y="4895850"/>
          <a:ext cx="2700000" cy="270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501225</xdr:colOff>
      <xdr:row>34</xdr:row>
      <xdr:rowOff>0</xdr:rowOff>
    </xdr:from>
    <xdr:to>
      <xdr:col>4</xdr:col>
      <xdr:colOff>0</xdr:colOff>
      <xdr:row>44</xdr:row>
      <xdr:rowOff>46425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250" y="5715000"/>
          <a:ext cx="1908600" cy="198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300327</xdr:colOff>
      <xdr:row>28</xdr:row>
      <xdr:rowOff>0</xdr:rowOff>
    </xdr:from>
    <xdr:to>
      <xdr:col>5</xdr:col>
      <xdr:colOff>0</xdr:colOff>
      <xdr:row>43</xdr:row>
      <xdr:rowOff>86082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327" y="4333875"/>
          <a:ext cx="3404898" cy="2581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124962</xdr:colOff>
      <xdr:row>29</xdr:row>
      <xdr:rowOff>0</xdr:rowOff>
    </xdr:from>
    <xdr:to>
      <xdr:col>5</xdr:col>
      <xdr:colOff>0</xdr:colOff>
      <xdr:row>44</xdr:row>
      <xdr:rowOff>117353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987" y="4924425"/>
          <a:ext cx="2999238" cy="2612903"/>
        </a:xfrm>
        <a:prstGeom prst="rect">
          <a:avLst/>
        </a:prstGeom>
      </xdr:spPr>
    </xdr:pic>
    <xdr:clientData/>
  </xdr:twoCellAnchor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170411</xdr:rowOff>
    </xdr:to>
    <xdr:pic>
      <xdr:nvPicPr>
        <xdr:cNvPr id="4" name="Picture 16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289111</xdr:colOff>
      <xdr:row>28</xdr:row>
      <xdr:rowOff>0</xdr:rowOff>
    </xdr:from>
    <xdr:to>
      <xdr:col>4</xdr:col>
      <xdr:colOff>695325</xdr:colOff>
      <xdr:row>42</xdr:row>
      <xdr:rowOff>85151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9111" y="4752975"/>
          <a:ext cx="3397064" cy="2418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170411</xdr:rowOff>
    </xdr:to>
    <xdr:pic>
      <xdr:nvPicPr>
        <xdr:cNvPr id="6" name="Picture 16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56593</xdr:colOff>
      <xdr:row>28</xdr:row>
      <xdr:rowOff>0</xdr:rowOff>
    </xdr:from>
    <xdr:to>
      <xdr:col>5</xdr:col>
      <xdr:colOff>0</xdr:colOff>
      <xdr:row>41</xdr:row>
      <xdr:rowOff>11951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593" y="4752975"/>
          <a:ext cx="3648632" cy="2183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170411</xdr:rowOff>
    </xdr:to>
    <xdr:pic>
      <xdr:nvPicPr>
        <xdr:cNvPr id="6" name="Picture 16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56593</xdr:colOff>
      <xdr:row>28</xdr:row>
      <xdr:rowOff>0</xdr:rowOff>
    </xdr:from>
    <xdr:to>
      <xdr:col>5</xdr:col>
      <xdr:colOff>0</xdr:colOff>
      <xdr:row>41</xdr:row>
      <xdr:rowOff>11951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D4BD5D-9991-40C3-AB08-6CBFD2756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593" y="4747260"/>
          <a:ext cx="3738167" cy="2168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170411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6377092B-0CA6-476F-888F-7E6A5CA7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20441" y="464820"/>
          <a:ext cx="188317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507943</xdr:colOff>
      <xdr:row>28</xdr:row>
      <xdr:rowOff>0</xdr:rowOff>
    </xdr:from>
    <xdr:to>
      <xdr:col>5</xdr:col>
      <xdr:colOff>0</xdr:colOff>
      <xdr:row>44</xdr:row>
      <xdr:rowOff>133432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43" y="4772025"/>
          <a:ext cx="3292532" cy="2924257"/>
        </a:xfrm>
        <a:prstGeom prst="rect">
          <a:avLst/>
        </a:prstGeom>
      </xdr:spPr>
    </xdr:pic>
    <xdr:clientData/>
  </xdr:twoCellAnchor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170411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259849</xdr:colOff>
      <xdr:row>30</xdr:row>
      <xdr:rowOff>0</xdr:rowOff>
    </xdr:from>
    <xdr:to>
      <xdr:col>5</xdr:col>
      <xdr:colOff>0</xdr:colOff>
      <xdr:row>42</xdr:row>
      <xdr:rowOff>19841</xdr:rowOff>
    </xdr:to>
    <xdr:pic>
      <xdr:nvPicPr>
        <xdr:cNvPr id="2252" name="Picture 2">
          <a:extLst>
            <a:ext uri="{FF2B5EF4-FFF2-40B4-BE49-F238E27FC236}">
              <a16:creationId xmlns:a16="http://schemas.microsoft.com/office/drawing/2014/main" id="{00000000-0008-0000-1300-0000C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849" y="5086350"/>
          <a:ext cx="3445376" cy="2020091"/>
        </a:xfrm>
        <a:prstGeom prst="rect">
          <a:avLst/>
        </a:prstGeom>
        <a:noFill/>
        <a:ln w="2857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174221</xdr:rowOff>
    </xdr:to>
    <xdr:pic>
      <xdr:nvPicPr>
        <xdr:cNvPr id="4" name="Picture 16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219939</xdr:colOff>
      <xdr:row>28</xdr:row>
      <xdr:rowOff>18600</xdr:rowOff>
    </xdr:from>
    <xdr:to>
      <xdr:col>5</xdr:col>
      <xdr:colOff>0</xdr:colOff>
      <xdr:row>41</xdr:row>
      <xdr:rowOff>0</xdr:rowOff>
    </xdr:to>
    <xdr:pic>
      <xdr:nvPicPr>
        <xdr:cNvPr id="17613" name="Picture 5">
          <a:extLst>
            <a:ext uri="{FF2B5EF4-FFF2-40B4-BE49-F238E27FC236}">
              <a16:creationId xmlns:a16="http://schemas.microsoft.com/office/drawing/2014/main" id="{00000000-0008-0000-0100-0000CD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9939" y="4352475"/>
          <a:ext cx="3485286" cy="215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424409</xdr:colOff>
      <xdr:row>1</xdr:row>
      <xdr:rowOff>160193</xdr:rowOff>
    </xdr:from>
    <xdr:to>
      <xdr:col>7</xdr:col>
      <xdr:colOff>571500</xdr:colOff>
      <xdr:row>3</xdr:row>
      <xdr:rowOff>170145</xdr:rowOff>
    </xdr:to>
    <xdr:pic>
      <xdr:nvPicPr>
        <xdr:cNvPr id="17614" name="Picture 32">
          <a:extLst>
            <a:ext uri="{FF2B5EF4-FFF2-40B4-BE49-F238E27FC236}">
              <a16:creationId xmlns:a16="http://schemas.microsoft.com/office/drawing/2014/main" id="{00000000-0008-0000-0100-0000CE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4993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294938</xdr:colOff>
      <xdr:row>31</xdr:row>
      <xdr:rowOff>1323</xdr:rowOff>
    </xdr:from>
    <xdr:to>
      <xdr:col>5</xdr:col>
      <xdr:colOff>0</xdr:colOff>
      <xdr:row>43</xdr:row>
      <xdr:rowOff>0</xdr:rowOff>
    </xdr:to>
    <xdr:pic>
      <xdr:nvPicPr>
        <xdr:cNvPr id="1228" name="Picture 1">
          <a:extLst>
            <a:ext uri="{FF2B5EF4-FFF2-40B4-BE49-F238E27FC236}">
              <a16:creationId xmlns:a16="http://schemas.microsoft.com/office/drawing/2014/main" id="{00000000-0008-0000-14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4938" y="5259123"/>
          <a:ext cx="3505537" cy="2103702"/>
        </a:xfrm>
        <a:prstGeom prst="rect">
          <a:avLst/>
        </a:prstGeom>
        <a:noFill/>
        <a:ln w="2857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425681</xdr:colOff>
      <xdr:row>2</xdr:row>
      <xdr:rowOff>1039</xdr:rowOff>
    </xdr:from>
    <xdr:to>
      <xdr:col>7</xdr:col>
      <xdr:colOff>571500</xdr:colOff>
      <xdr:row>3</xdr:row>
      <xdr:rowOff>171450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7764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174221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7CCFB0C9-D8FE-432B-B9FB-AF8FF6277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28061" y="466725"/>
          <a:ext cx="1886989" cy="402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29</xdr:row>
      <xdr:rowOff>87630</xdr:rowOff>
    </xdr:from>
    <xdr:to>
      <xdr:col>5</xdr:col>
      <xdr:colOff>169230</xdr:colOff>
      <xdr:row>45</xdr:row>
      <xdr:rowOff>135694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F27010-FD40-43C0-BAE9-939234FC9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4688205"/>
          <a:ext cx="3741105" cy="272458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170411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9D0943D9-7495-43D1-BC84-899DE74A6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28061" y="466725"/>
          <a:ext cx="1886989" cy="402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29</xdr:row>
      <xdr:rowOff>87630</xdr:rowOff>
    </xdr:from>
    <xdr:to>
      <xdr:col>5</xdr:col>
      <xdr:colOff>397559</xdr:colOff>
      <xdr:row>42</xdr:row>
      <xdr:rowOff>72695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31D64F-5713-4D7B-8853-BE57CA50D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4688205"/>
          <a:ext cx="4116119" cy="217581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252367</xdr:colOff>
      <xdr:row>28</xdr:row>
      <xdr:rowOff>0</xdr:rowOff>
    </xdr:from>
    <xdr:to>
      <xdr:col>5</xdr:col>
      <xdr:colOff>0</xdr:colOff>
      <xdr:row>36</xdr:row>
      <xdr:rowOff>37025</xdr:rowOff>
    </xdr:to>
    <xdr:pic>
      <xdr:nvPicPr>
        <xdr:cNvPr id="14541" name="Picture 3">
          <a:extLst>
            <a:ext uri="{FF2B5EF4-FFF2-40B4-BE49-F238E27FC236}">
              <a16:creationId xmlns:a16="http://schemas.microsoft.com/office/drawing/2014/main" id="{00000000-0008-0000-1500-0000CD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367" y="4762500"/>
          <a:ext cx="3452858" cy="139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174221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261587</xdr:colOff>
      <xdr:row>28</xdr:row>
      <xdr:rowOff>0</xdr:rowOff>
    </xdr:from>
    <xdr:to>
      <xdr:col>4</xdr:col>
      <xdr:colOff>712304</xdr:colOff>
      <xdr:row>36</xdr:row>
      <xdr:rowOff>28230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1587" y="4828761"/>
          <a:ext cx="3432456" cy="1419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170411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367504</xdr:colOff>
      <xdr:row>28</xdr:row>
      <xdr:rowOff>19050</xdr:rowOff>
    </xdr:from>
    <xdr:to>
      <xdr:col>5</xdr:col>
      <xdr:colOff>0</xdr:colOff>
      <xdr:row>39</xdr:row>
      <xdr:rowOff>88</xdr:rowOff>
    </xdr:to>
    <xdr:pic>
      <xdr:nvPicPr>
        <xdr:cNvPr id="25740" name="Picture 2">
          <a:extLst>
            <a:ext uri="{FF2B5EF4-FFF2-40B4-BE49-F238E27FC236}">
              <a16:creationId xmlns:a16="http://schemas.microsoft.com/office/drawing/2014/main" id="{00000000-0008-0000-1700-00008C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7504" y="4781550"/>
          <a:ext cx="3337721" cy="1828888"/>
        </a:xfrm>
        <a:prstGeom prst="rect">
          <a:avLst/>
        </a:prstGeom>
        <a:noFill/>
        <a:ln w="38100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174221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292331</xdr:colOff>
      <xdr:row>2</xdr:row>
      <xdr:rowOff>0</xdr:rowOff>
    </xdr:from>
    <xdr:to>
      <xdr:col>8</xdr:col>
      <xdr:colOff>571500</xdr:colOff>
      <xdr:row>3</xdr:row>
      <xdr:rowOff>170411</xdr:rowOff>
    </xdr:to>
    <xdr:pic>
      <xdr:nvPicPr>
        <xdr:cNvPr id="6" name="Picture 16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78531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206767</xdr:colOff>
      <xdr:row>28</xdr:row>
      <xdr:rowOff>114631</xdr:rowOff>
    </xdr:from>
    <xdr:to>
      <xdr:col>6</xdr:col>
      <xdr:colOff>416872</xdr:colOff>
      <xdr:row>42</xdr:row>
      <xdr:rowOff>133074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3D4EB9-B1BD-471F-B008-A18BBAC2A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767" y="4861891"/>
          <a:ext cx="4187745" cy="241874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84026</xdr:colOff>
      <xdr:row>28</xdr:row>
      <xdr:rowOff>0</xdr:rowOff>
    </xdr:from>
    <xdr:to>
      <xdr:col>5</xdr:col>
      <xdr:colOff>0</xdr:colOff>
      <xdr:row>38</xdr:row>
      <xdr:rowOff>62915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26" y="4762500"/>
          <a:ext cx="3621199" cy="1750745"/>
        </a:xfrm>
        <a:prstGeom prst="rect">
          <a:avLst/>
        </a:prstGeom>
      </xdr:spPr>
    </xdr:pic>
    <xdr:clientData/>
  </xdr:twoCellAnchor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174221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162586</xdr:colOff>
      <xdr:row>28</xdr:row>
      <xdr:rowOff>0</xdr:rowOff>
    </xdr:from>
    <xdr:to>
      <xdr:col>5</xdr:col>
      <xdr:colOff>0</xdr:colOff>
      <xdr:row>41</xdr:row>
      <xdr:rowOff>20541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86" y="4791075"/>
          <a:ext cx="3542639" cy="2188431"/>
        </a:xfrm>
        <a:prstGeom prst="rect">
          <a:avLst/>
        </a:prstGeom>
      </xdr:spPr>
    </xdr:pic>
    <xdr:clientData/>
  </xdr:twoCellAnchor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174221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296843</xdr:colOff>
      <xdr:row>31</xdr:row>
      <xdr:rowOff>1323</xdr:rowOff>
    </xdr:from>
    <xdr:to>
      <xdr:col>5</xdr:col>
      <xdr:colOff>0</xdr:colOff>
      <xdr:row>43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6843" y="5249598"/>
          <a:ext cx="3408382" cy="2008452"/>
        </a:xfrm>
        <a:prstGeom prst="rect">
          <a:avLst/>
        </a:prstGeom>
        <a:noFill/>
        <a:ln w="2857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425681</xdr:colOff>
      <xdr:row>2</xdr:row>
      <xdr:rowOff>1039</xdr:rowOff>
    </xdr:from>
    <xdr:to>
      <xdr:col>7</xdr:col>
      <xdr:colOff>571500</xdr:colOff>
      <xdr:row>3</xdr:row>
      <xdr:rowOff>171450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7764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506038</xdr:colOff>
      <xdr:row>28</xdr:row>
      <xdr:rowOff>0</xdr:rowOff>
    </xdr:from>
    <xdr:to>
      <xdr:col>5</xdr:col>
      <xdr:colOff>0</xdr:colOff>
      <xdr:row>44</xdr:row>
      <xdr:rowOff>129622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038" y="4762500"/>
          <a:ext cx="3199187" cy="2787097"/>
        </a:xfrm>
        <a:prstGeom prst="rect">
          <a:avLst/>
        </a:prstGeom>
      </xdr:spPr>
    </xdr:pic>
    <xdr:clientData/>
  </xdr:twoCellAnchor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168067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35</xdr:row>
      <xdr:rowOff>9525</xdr:rowOff>
    </xdr:from>
    <xdr:to>
      <xdr:col>4</xdr:col>
      <xdr:colOff>685423</xdr:colOff>
      <xdr:row>47</xdr:row>
      <xdr:rowOff>15822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50" y="7410450"/>
          <a:ext cx="3408382" cy="2008452"/>
        </a:xfrm>
        <a:prstGeom prst="rect">
          <a:avLst/>
        </a:prstGeom>
        <a:noFill/>
        <a:ln w="2857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4868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319325</xdr:colOff>
      <xdr:row>35</xdr:row>
      <xdr:rowOff>29766</xdr:rowOff>
    </xdr:from>
    <xdr:to>
      <xdr:col>5</xdr:col>
      <xdr:colOff>57333</xdr:colOff>
      <xdr:row>47</xdr:row>
      <xdr:rowOff>59370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C6F3AB5-470C-42E5-9606-7B53AC91F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19325" y="6268641"/>
          <a:ext cx="3546341" cy="2029616"/>
        </a:xfrm>
        <a:prstGeom prst="rect">
          <a:avLst/>
        </a:prstGeom>
        <a:noFill/>
        <a:ln w="2857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4868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59121</xdr:colOff>
      <xdr:row>35</xdr:row>
      <xdr:rowOff>98535</xdr:rowOff>
    </xdr:from>
    <xdr:to>
      <xdr:col>5</xdr:col>
      <xdr:colOff>284360</xdr:colOff>
      <xdr:row>49</xdr:row>
      <xdr:rowOff>154390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CFC163E-905F-4B66-9F34-E24D6340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0328" y="6444156"/>
          <a:ext cx="3475169" cy="2420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4868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506016</xdr:colOff>
      <xdr:row>35</xdr:row>
      <xdr:rowOff>11906</xdr:rowOff>
    </xdr:from>
    <xdr:to>
      <xdr:col>5</xdr:col>
      <xdr:colOff>324142</xdr:colOff>
      <xdr:row>48</xdr:row>
      <xdr:rowOff>96740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2BCFBE-DC8C-4DD7-828E-B8A9AD538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016" y="5929312"/>
          <a:ext cx="3634079" cy="223224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168067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4868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412908</xdr:colOff>
      <xdr:row>34</xdr:row>
      <xdr:rowOff>97155</xdr:rowOff>
    </xdr:from>
    <xdr:to>
      <xdr:col>4</xdr:col>
      <xdr:colOff>631246</xdr:colOff>
      <xdr:row>51</xdr:row>
      <xdr:rowOff>208203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44D5FAE-19D4-4226-B971-6C8D5D657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908" y="5853827"/>
          <a:ext cx="3298247" cy="2912827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168067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4868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293077</xdr:colOff>
      <xdr:row>34</xdr:row>
      <xdr:rowOff>117230</xdr:rowOff>
    </xdr:from>
    <xdr:to>
      <xdr:col>5</xdr:col>
      <xdr:colOff>206297</xdr:colOff>
      <xdr:row>47</xdr:row>
      <xdr:rowOff>150868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98A72C-8BF5-48D2-B543-8F79AF89F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3077" y="6220557"/>
          <a:ext cx="3738167" cy="2195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174221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172111</xdr:colOff>
      <xdr:row>27</xdr:row>
      <xdr:rowOff>152400</xdr:rowOff>
    </xdr:from>
    <xdr:to>
      <xdr:col>4</xdr:col>
      <xdr:colOff>686461</xdr:colOff>
      <xdr:row>39</xdr:row>
      <xdr:rowOff>130641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111" y="4591050"/>
          <a:ext cx="3505200" cy="198420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170411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27</xdr:row>
      <xdr:rowOff>95251</xdr:rowOff>
    </xdr:from>
    <xdr:to>
      <xdr:col>4</xdr:col>
      <xdr:colOff>477556</xdr:colOff>
      <xdr:row>41</xdr:row>
      <xdr:rowOff>55246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695826"/>
          <a:ext cx="2843566" cy="230505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170411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85726</xdr:colOff>
      <xdr:row>27</xdr:row>
      <xdr:rowOff>123825</xdr:rowOff>
    </xdr:from>
    <xdr:to>
      <xdr:col>5</xdr:col>
      <xdr:colOff>152401</xdr:colOff>
      <xdr:row>41</xdr:row>
      <xdr:rowOff>22457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6" y="4724400"/>
          <a:ext cx="3771900" cy="2224637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170411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</xdr:colOff>
      <xdr:row>27</xdr:row>
      <xdr:rowOff>45720</xdr:rowOff>
    </xdr:from>
    <xdr:to>
      <xdr:col>5</xdr:col>
      <xdr:colOff>59133</xdr:colOff>
      <xdr:row>40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" y="4646295"/>
          <a:ext cx="3844368" cy="21736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210547</xdr:colOff>
      <xdr:row>28</xdr:row>
      <xdr:rowOff>0</xdr:rowOff>
    </xdr:from>
    <xdr:to>
      <xdr:col>5</xdr:col>
      <xdr:colOff>0</xdr:colOff>
      <xdr:row>42</xdr:row>
      <xdr:rowOff>125088</xdr:rowOff>
    </xdr:to>
    <xdr:pic>
      <xdr:nvPicPr>
        <xdr:cNvPr id="11469" name="Picture 3">
          <a:extLst>
            <a:ext uri="{FF2B5EF4-FFF2-40B4-BE49-F238E27FC236}">
              <a16:creationId xmlns:a16="http://schemas.microsoft.com/office/drawing/2014/main" id="{00000000-0008-0000-0300-0000CD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547" y="4333875"/>
          <a:ext cx="3494678" cy="2458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170411</xdr:rowOff>
    </xdr:to>
    <xdr:pic>
      <xdr:nvPicPr>
        <xdr:cNvPr id="4" name="Picture 1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425681</xdr:colOff>
      <xdr:row>2</xdr:row>
      <xdr:rowOff>0</xdr:rowOff>
    </xdr:from>
    <xdr:to>
      <xdr:col>7</xdr:col>
      <xdr:colOff>571500</xdr:colOff>
      <xdr:row>3</xdr:row>
      <xdr:rowOff>174221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0906" y="466725"/>
          <a:ext cx="1841269" cy="3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36194</xdr:colOff>
      <xdr:row>27</xdr:row>
      <xdr:rowOff>54581</xdr:rowOff>
    </xdr:from>
    <xdr:to>
      <xdr:col>4</xdr:col>
      <xdr:colOff>725805</xdr:colOff>
      <xdr:row>40</xdr:row>
      <xdr:rowOff>53858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4" y="4655156"/>
          <a:ext cx="3756661" cy="2218602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8</xdr:col>
      <xdr:colOff>0</xdr:colOff>
      <xdr:row>3</xdr:row>
      <xdr:rowOff>168067</xdr:rowOff>
    </xdr:to>
    <xdr:pic>
      <xdr:nvPicPr>
        <xdr:cNvPr id="3" name="Picture 32">
          <a:extLst>
            <a:ext uri="{FF2B5EF4-FFF2-40B4-BE49-F238E27FC236}">
              <a16:creationId xmlns:a16="http://schemas.microsoft.com/office/drawing/2014/main" id="{147B195B-380E-4AD1-A6E2-73AF8E2FA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26789" y="466725"/>
          <a:ext cx="1907311" cy="396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27</xdr:row>
      <xdr:rowOff>9525</xdr:rowOff>
    </xdr:from>
    <xdr:to>
      <xdr:col>5</xdr:col>
      <xdr:colOff>397538</xdr:colOff>
      <xdr:row>37</xdr:row>
      <xdr:rowOff>7620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BC3A70-24BA-47EC-9AFB-920C76752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4610100"/>
          <a:ext cx="4068473" cy="168211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210285</xdr:colOff>
      <xdr:row>26</xdr:row>
      <xdr:rowOff>0</xdr:rowOff>
    </xdr:from>
    <xdr:to>
      <xdr:col>5</xdr:col>
      <xdr:colOff>0</xdr:colOff>
      <xdr:row>40</xdr:row>
      <xdr:rowOff>28552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285" y="4438650"/>
          <a:ext cx="3494940" cy="2362177"/>
        </a:xfrm>
        <a:prstGeom prst="rect">
          <a:avLst/>
        </a:prstGeom>
      </xdr:spPr>
    </xdr:pic>
    <xdr:clientData/>
  </xdr:twoCellAnchor>
  <xdr:twoCellAnchor editAs="oneCell">
    <xdr:from>
      <xdr:col>5</xdr:col>
      <xdr:colOff>424409</xdr:colOff>
      <xdr:row>2</xdr:row>
      <xdr:rowOff>0</xdr:rowOff>
    </xdr:from>
    <xdr:to>
      <xdr:col>8</xdr:col>
      <xdr:colOff>0</xdr:colOff>
      <xdr:row>3</xdr:row>
      <xdr:rowOff>171877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314225</xdr:colOff>
      <xdr:row>26</xdr:row>
      <xdr:rowOff>0</xdr:rowOff>
    </xdr:from>
    <xdr:to>
      <xdr:col>4</xdr:col>
      <xdr:colOff>704850</xdr:colOff>
      <xdr:row>40</xdr:row>
      <xdr:rowOff>28551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250" y="4514850"/>
          <a:ext cx="2800450" cy="2362176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428625</xdr:colOff>
      <xdr:row>2</xdr:row>
      <xdr:rowOff>0</xdr:rowOff>
    </xdr:from>
    <xdr:to>
      <xdr:col>7</xdr:col>
      <xdr:colOff>575716</xdr:colOff>
      <xdr:row>3</xdr:row>
      <xdr:rowOff>171877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33850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501225</xdr:colOff>
      <xdr:row>34</xdr:row>
      <xdr:rowOff>0</xdr:rowOff>
    </xdr:from>
    <xdr:to>
      <xdr:col>4</xdr:col>
      <xdr:colOff>0</xdr:colOff>
      <xdr:row>44</xdr:row>
      <xdr:rowOff>57855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250" y="5715000"/>
          <a:ext cx="1908600" cy="173235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107296</xdr:colOff>
      <xdr:row>24</xdr:row>
      <xdr:rowOff>0</xdr:rowOff>
    </xdr:from>
    <xdr:to>
      <xdr:col>5</xdr:col>
      <xdr:colOff>0</xdr:colOff>
      <xdr:row>33</xdr:row>
      <xdr:rowOff>53673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96" y="4895850"/>
          <a:ext cx="3597929" cy="15681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184785</xdr:colOff>
      <xdr:row>28</xdr:row>
      <xdr:rowOff>0</xdr:rowOff>
    </xdr:from>
    <xdr:to>
      <xdr:col>5</xdr:col>
      <xdr:colOff>0</xdr:colOff>
      <xdr:row>43</xdr:row>
      <xdr:rowOff>64770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785" y="4333875"/>
          <a:ext cx="3520440" cy="2560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514293</xdr:colOff>
      <xdr:row>31</xdr:row>
      <xdr:rowOff>20625</xdr:rowOff>
    </xdr:from>
    <xdr:to>
      <xdr:col>5</xdr:col>
      <xdr:colOff>0</xdr:colOff>
      <xdr:row>42</xdr:row>
      <xdr:rowOff>0</xdr:rowOff>
    </xdr:to>
    <xdr:pic>
      <xdr:nvPicPr>
        <xdr:cNvPr id="19647" name="Picture 4">
          <a:extLst>
            <a:ext uri="{FF2B5EF4-FFF2-40B4-BE49-F238E27FC236}">
              <a16:creationId xmlns:a16="http://schemas.microsoft.com/office/drawing/2014/main" id="{00000000-0008-0000-0500-0000BF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5318" y="5830875"/>
          <a:ext cx="2609907" cy="182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107296</xdr:colOff>
      <xdr:row>24</xdr:row>
      <xdr:rowOff>0</xdr:rowOff>
    </xdr:from>
    <xdr:to>
      <xdr:col>5</xdr:col>
      <xdr:colOff>0</xdr:colOff>
      <xdr:row>33</xdr:row>
      <xdr:rowOff>44148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96" y="4895850"/>
          <a:ext cx="3597929" cy="15681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354038</xdr:colOff>
      <xdr:row>25</xdr:row>
      <xdr:rowOff>0</xdr:rowOff>
    </xdr:from>
    <xdr:to>
      <xdr:col>5</xdr:col>
      <xdr:colOff>0</xdr:colOff>
      <xdr:row>38</xdr:row>
      <xdr:rowOff>101625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063" y="5124450"/>
          <a:ext cx="2770162" cy="23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424409</xdr:colOff>
      <xdr:row>2</xdr:row>
      <xdr:rowOff>0</xdr:rowOff>
    </xdr:from>
    <xdr:to>
      <xdr:col>7</xdr:col>
      <xdr:colOff>571500</xdr:colOff>
      <xdr:row>3</xdr:row>
      <xdr:rowOff>171877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9634" y="466725"/>
          <a:ext cx="1842541" cy="400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424200</xdr:colOff>
      <xdr:row>24</xdr:row>
      <xdr:rowOff>0</xdr:rowOff>
    </xdr:from>
    <xdr:to>
      <xdr:col>5</xdr:col>
      <xdr:colOff>0</xdr:colOff>
      <xdr:row>39</xdr:row>
      <xdr:rowOff>137775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225" y="4895850"/>
          <a:ext cx="2700000" cy="27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resources/file/cae574b3-60b4-4524-815c-08b38f2b0322.pdf" TargetMode="External"/><Relationship Id="rId2" Type="http://schemas.openxmlformats.org/officeDocument/2006/relationships/hyperlink" Target="http://www.arriscraft.com/resources/file/6689d069-6c94-4cf7-a0a1-7f6b86efa0bf.pdf" TargetMode="External"/><Relationship Id="rId1" Type="http://schemas.openxmlformats.org/officeDocument/2006/relationships/hyperlink" Target="http://www.arriscraft.com/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resources/file/cae574b3-60b4-4524-815c-08b38f2b0322.pdf" TargetMode="External"/><Relationship Id="rId2" Type="http://schemas.openxmlformats.org/officeDocument/2006/relationships/hyperlink" Target="http://www.arriscraft.com/resources/file/13c872c8-80e0-452f-8ace-810b59943f4b.pdf" TargetMode="External"/><Relationship Id="rId1" Type="http://schemas.openxmlformats.org/officeDocument/2006/relationships/hyperlink" Target="http://www.arriscraft.com/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resources/file/cae574b3-60b4-4524-815c-08b38f2b0322.pdf" TargetMode="External"/><Relationship Id="rId2" Type="http://schemas.openxmlformats.org/officeDocument/2006/relationships/hyperlink" Target="http://www.arriscraft.com/resources/file/13c872c8-80e0-452f-8ace-810b59943f4b.pdf" TargetMode="External"/><Relationship Id="rId1" Type="http://schemas.openxmlformats.org/officeDocument/2006/relationships/hyperlink" Target="http://www.arriscraft.com/" TargetMode="External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://arriscraft.com/resources/file/3b36b805-7e50-4aa9-bb25-3dc3edf8e00d.pdf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14.xm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http://www.arriscraft.com/pdfs/3-Unit_Citadel_15.pdf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15.xm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http://arriscraft.com/resources/file/47c8b1b0-ec94-4c00-a0d3-d69c7a0c5ae5.pdf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16.xml"/><Relationship Id="rId5" Type="http://schemas.openxmlformats.org/officeDocument/2006/relationships/printerSettings" Target="../printerSettings/printerSettings16.bin"/><Relationship Id="rId4" Type="http://schemas.openxmlformats.org/officeDocument/2006/relationships/hyperlink" Target="http://arriscraft.com/resources/file/4b839045-c18f-4b44-bb0d-9acc6d6dacc4.pdf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17.xm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http://arriscraft.com/resources/file/4b839045-c18f-4b44-bb0d-9acc6d6dacc4.pdf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18.xml"/><Relationship Id="rId5" Type="http://schemas.openxmlformats.org/officeDocument/2006/relationships/printerSettings" Target="../printerSettings/printerSettings18.bin"/><Relationship Id="rId4" Type="http://schemas.openxmlformats.org/officeDocument/2006/relationships/hyperlink" Target="http://arriscraft.com/resources/file/cb911cb5-6a2e-4e4e-a0bc-7b874d76505b.pdf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19.xml"/><Relationship Id="rId5" Type="http://schemas.openxmlformats.org/officeDocument/2006/relationships/printerSettings" Target="../printerSettings/printerSettings19.bin"/><Relationship Id="rId4" Type="http://schemas.openxmlformats.org/officeDocument/2006/relationships/hyperlink" Target="http://arriscraft.com/resources/file/9a0c0e64-af5a-48d5-aa04-9133b91f51a6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arriscraft.com/resources/file/c871052e-48d7-46ae-a5a0-70a303b485ad.pdf" TargetMode="External"/><Relationship Id="rId4" Type="http://schemas.openxmlformats.org/officeDocument/2006/relationships/hyperlink" Target="http://www.arriscraft.com/resources/file/0a46a21f-7cb7-418d-be42-5cdd72adad8f.pdf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20.xml"/><Relationship Id="rId5" Type="http://schemas.openxmlformats.org/officeDocument/2006/relationships/printerSettings" Target="../printerSettings/printerSettings20.bin"/><Relationship Id="rId4" Type="http://schemas.openxmlformats.org/officeDocument/2006/relationships/hyperlink" Target="http://arriscraft.com/resources/file/a72fe71a-854a-4a3d-911a-39778cd17c35.pdf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21.xml"/><Relationship Id="rId5" Type="http://schemas.openxmlformats.org/officeDocument/2006/relationships/printerSettings" Target="../printerSettings/printerSettings21.bin"/><Relationship Id="rId4" Type="http://schemas.openxmlformats.org/officeDocument/2006/relationships/hyperlink" Target="https://arriscraft.com/resources/file/f345b04a-9fc1-4af6-9a68-d6854a9bd40e.pdf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22.xml"/><Relationship Id="rId5" Type="http://schemas.openxmlformats.org/officeDocument/2006/relationships/printerSettings" Target="../printerSettings/printerSettings22.bin"/><Relationship Id="rId4" Type="http://schemas.openxmlformats.org/officeDocument/2006/relationships/hyperlink" Target="https://arriscraft.com/resources/file/8c05a759-3874-4b89-9b52-c4c3196a683a.pdf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23.xml"/><Relationship Id="rId5" Type="http://schemas.openxmlformats.org/officeDocument/2006/relationships/printerSettings" Target="../printerSettings/printerSettings23.bin"/><Relationship Id="rId4" Type="http://schemas.openxmlformats.org/officeDocument/2006/relationships/hyperlink" Target="http://arriscraft.com/resources/file/ea864e3e-950a-4e4b-8b4f-9171ef0ab7bf.pdf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24.xml"/><Relationship Id="rId5" Type="http://schemas.openxmlformats.org/officeDocument/2006/relationships/printerSettings" Target="../printerSettings/printerSettings24.bin"/><Relationship Id="rId4" Type="http://schemas.openxmlformats.org/officeDocument/2006/relationships/hyperlink" Target="http://arriscraft.com/resources/file/d8487905-affe-48fa-af4c-c84b0aa9d38a.pdf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25.xml"/><Relationship Id="rId5" Type="http://schemas.openxmlformats.org/officeDocument/2006/relationships/printerSettings" Target="../printerSettings/printerSettings25.bin"/><Relationship Id="rId4" Type="http://schemas.openxmlformats.org/officeDocument/2006/relationships/hyperlink" Target="http://arriscraft.com/resources/file/b44f7901-2cf0-42be-8430-d55a7c3268a8.pdf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26.xml"/><Relationship Id="rId5" Type="http://schemas.openxmlformats.org/officeDocument/2006/relationships/printerSettings" Target="../printerSettings/printerSettings26.bin"/><Relationship Id="rId4" Type="http://schemas.openxmlformats.org/officeDocument/2006/relationships/hyperlink" Target="http://arriscraft.com/resources/file/98503b0d-19e5-400c-8006-cdef375e9b7b.pdf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hyperlink" Target="http://www.arriscraft.com/" TargetMode="External"/><Relationship Id="rId7" Type="http://schemas.openxmlformats.org/officeDocument/2006/relationships/hyperlink" Target="http://arriscraft.com/resources/file/3e9739ef-dfbb-4ba5-a5f3-dcd0a7a5e5c5.pdf" TargetMode="External"/><Relationship Id="rId2" Type="http://schemas.openxmlformats.org/officeDocument/2006/relationships/hyperlink" Target="http://arriscraft.com/resources/file/3e9739ef-dfbb-4ba5-a5f3-dcd0a7a5e5c5.pdf" TargetMode="External"/><Relationship Id="rId1" Type="http://schemas.openxmlformats.org/officeDocument/2006/relationships/hyperlink" Target="http://arriscraft.com/resources/file/56449d12-226c-447d-8316-1b4fb4344712.pdfhttp:/www.arriscraft.com/pdfs/UrbanLedgestone_15_Ashlar.pdf" TargetMode="External"/><Relationship Id="rId6" Type="http://schemas.openxmlformats.org/officeDocument/2006/relationships/hyperlink" Target="http://www.arriscraft.com/resources/file/56449d12-226c-447d-8316-1b4fb4344712.pdf" TargetMode="External"/><Relationship Id="rId5" Type="http://schemas.openxmlformats.org/officeDocument/2006/relationships/hyperlink" Target="http://arriscraft.com/resources/file/def8159b-da00-487f-91e2-424c78378183.pdf" TargetMode="External"/><Relationship Id="rId4" Type="http://schemas.openxmlformats.org/officeDocument/2006/relationships/hyperlink" Target="http://arriscraft.com/resources/file/ac5d2607-4cc4-4c69-b213-b2f3031e877e.pdf" TargetMode="External"/><Relationship Id="rId9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" TargetMode="External"/><Relationship Id="rId7" Type="http://schemas.openxmlformats.org/officeDocument/2006/relationships/drawing" Target="../drawings/drawing28.xml"/><Relationship Id="rId2" Type="http://schemas.openxmlformats.org/officeDocument/2006/relationships/hyperlink" Target="http://arriscraft.com/resources/file/176fe6cd-67d6-4957-8302-13478f59aaeb.pdf" TargetMode="External"/><Relationship Id="rId1" Type="http://schemas.openxmlformats.org/officeDocument/2006/relationships/hyperlink" Target="http://arriscraft.com/resources/file/69a0b5bf-7164-4966-9b34-00a5e8631651.pdf" TargetMode="External"/><Relationship Id="rId6" Type="http://schemas.openxmlformats.org/officeDocument/2006/relationships/printerSettings" Target="../printerSettings/printerSettings28.bin"/><Relationship Id="rId5" Type="http://schemas.openxmlformats.org/officeDocument/2006/relationships/hyperlink" Target="http://arriscraft.com/resources/file/def8159b-da00-487f-91e2-424c78378183.pdf" TargetMode="External"/><Relationship Id="rId4" Type="http://schemas.openxmlformats.org/officeDocument/2006/relationships/hyperlink" Target="http://arriscraft.com/resources/file/ac5d2607-4cc4-4c69-b213-b2f3031e877e.pdf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29.xml"/><Relationship Id="rId5" Type="http://schemas.openxmlformats.org/officeDocument/2006/relationships/printerSettings" Target="../printerSettings/printerSettings29.bin"/><Relationship Id="rId4" Type="http://schemas.openxmlformats.org/officeDocument/2006/relationships/hyperlink" Target="http://arriscraft.com/resources/file/a72fe71a-854a-4a3d-911a-39778cd17c35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arriscraft.com/resources/file/eb6261b5-1720-485d-ab7a-c0fffe5561d4.pdf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" TargetMode="External"/><Relationship Id="rId2" Type="http://schemas.openxmlformats.org/officeDocument/2006/relationships/hyperlink" Target="https://arriscraft.com/resources/file/a72fe71a-854a-4a3d-911a-39778cd17c35.pdf" TargetMode="External"/><Relationship Id="rId1" Type="http://schemas.openxmlformats.org/officeDocument/2006/relationships/hyperlink" Target="http://www.arriscraft.com/resources/file/cae574b3-60b4-4524-815c-08b38f2b0322.pdf" TargetMode="External"/><Relationship Id="rId5" Type="http://schemas.openxmlformats.org/officeDocument/2006/relationships/drawing" Target="../drawings/drawing30.xml"/><Relationship Id="rId4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" TargetMode="External"/><Relationship Id="rId2" Type="http://schemas.openxmlformats.org/officeDocument/2006/relationships/hyperlink" Target="https://arriscraft.com/resources/file/d8487905-affe-48fa-af4c-c84b0aa9d38a.pdf" TargetMode="External"/><Relationship Id="rId1" Type="http://schemas.openxmlformats.org/officeDocument/2006/relationships/hyperlink" Target="http://www.arriscraft.com/resources/file/cae574b3-60b4-4524-815c-08b38f2b0322.pdf" TargetMode="External"/><Relationship Id="rId5" Type="http://schemas.openxmlformats.org/officeDocument/2006/relationships/drawing" Target="../drawings/drawing31.xml"/><Relationship Id="rId4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" TargetMode="External"/><Relationship Id="rId2" Type="http://schemas.openxmlformats.org/officeDocument/2006/relationships/hyperlink" Target="https://arriscraft.com/resources/file/47c8b1b0-ec94-4c00-a0d3-d69c7a0c5ae5.pdf" TargetMode="External"/><Relationship Id="rId1" Type="http://schemas.openxmlformats.org/officeDocument/2006/relationships/hyperlink" Target="http://www.arriscraft.com/resources/file/cae574b3-60b4-4524-815c-08b38f2b0322.pdf" TargetMode="External"/><Relationship Id="rId5" Type="http://schemas.openxmlformats.org/officeDocument/2006/relationships/drawing" Target="../drawings/drawing32.xml"/><Relationship Id="rId4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" TargetMode="External"/><Relationship Id="rId2" Type="http://schemas.openxmlformats.org/officeDocument/2006/relationships/hyperlink" Target="https://arriscraft.com/resources/file/176fe6cd-67d6-4957-8302-13478f59aaeb.pdf" TargetMode="External"/><Relationship Id="rId1" Type="http://schemas.openxmlformats.org/officeDocument/2006/relationships/hyperlink" Target="http://www.arriscraft.com/resources/file/cae574b3-60b4-4524-815c-08b38f2b0322.pdf" TargetMode="External"/><Relationship Id="rId5" Type="http://schemas.openxmlformats.org/officeDocument/2006/relationships/drawing" Target="../drawings/drawing33.xml"/><Relationship Id="rId4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" TargetMode="External"/><Relationship Id="rId2" Type="http://schemas.openxmlformats.org/officeDocument/2006/relationships/hyperlink" Target="https://arriscraft.com/resources/file/cb911cb5-6a2e-4e4e-a0bc-7b874d76505b.pdf" TargetMode="External"/><Relationship Id="rId1" Type="http://schemas.openxmlformats.org/officeDocument/2006/relationships/hyperlink" Target="http://www.arriscraft.com/resources/file/cae574b3-60b4-4524-815c-08b38f2b0322.pdf" TargetMode="External"/><Relationship Id="rId5" Type="http://schemas.openxmlformats.org/officeDocument/2006/relationships/drawing" Target="../drawings/drawing34.xml"/><Relationship Id="rId4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" TargetMode="External"/><Relationship Id="rId2" Type="http://schemas.openxmlformats.org/officeDocument/2006/relationships/hyperlink" Target="https://arriscraft.com/resources/file/4b839045-c18f-4b44-bb0d-9acc6d6dacc4.pdf" TargetMode="External"/><Relationship Id="rId1" Type="http://schemas.openxmlformats.org/officeDocument/2006/relationships/hyperlink" Target="http://www.arriscraft.com/resources/file/cae574b3-60b4-4524-815c-08b38f2b0322.pdf" TargetMode="External"/><Relationship Id="rId5" Type="http://schemas.openxmlformats.org/officeDocument/2006/relationships/drawing" Target="../drawings/drawing35.xml"/><Relationship Id="rId4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ac5d2607-4cc4-4c69-b213-b2f3031e877e.pdf" TargetMode="External"/><Relationship Id="rId2" Type="http://schemas.openxmlformats.org/officeDocument/2006/relationships/hyperlink" Target="http://www.arriscraft.com/" TargetMode="External"/><Relationship Id="rId1" Type="http://schemas.openxmlformats.org/officeDocument/2006/relationships/hyperlink" Target="https://www.arriscraft.com/resources/file/5d0d3eb8-1258-450d-8b7d-6d762694f771.pdf" TargetMode="External"/><Relationship Id="rId6" Type="http://schemas.openxmlformats.org/officeDocument/2006/relationships/drawing" Target="../drawings/drawing36.xml"/><Relationship Id="rId5" Type="http://schemas.openxmlformats.org/officeDocument/2006/relationships/printerSettings" Target="../printerSettings/printerSettings36.bin"/><Relationship Id="rId4" Type="http://schemas.openxmlformats.org/officeDocument/2006/relationships/hyperlink" Target="http://arriscraft.com/resources/file/def8159b-da00-487f-91e2-424c78378183.pdf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ac5d2607-4cc4-4c69-b213-b2f3031e877e.pdf" TargetMode="External"/><Relationship Id="rId2" Type="http://schemas.openxmlformats.org/officeDocument/2006/relationships/hyperlink" Target="http://www.arriscraft.com/" TargetMode="External"/><Relationship Id="rId1" Type="http://schemas.openxmlformats.org/officeDocument/2006/relationships/hyperlink" Target="https://www.arriscraft.com/resources/file/46cba3df-00d3-4346-86c7-f8fe4c94afc6.pdf" TargetMode="External"/><Relationship Id="rId6" Type="http://schemas.openxmlformats.org/officeDocument/2006/relationships/drawing" Target="../drawings/drawing37.xml"/><Relationship Id="rId5" Type="http://schemas.openxmlformats.org/officeDocument/2006/relationships/printerSettings" Target="../printerSettings/printerSettings37.bin"/><Relationship Id="rId4" Type="http://schemas.openxmlformats.org/officeDocument/2006/relationships/hyperlink" Target="http://arriscraft.com/resources/file/def8159b-da00-487f-91e2-424c78378183.pdf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ac5d2607-4cc4-4c69-b213-b2f3031e877e.pdf" TargetMode="External"/><Relationship Id="rId2" Type="http://schemas.openxmlformats.org/officeDocument/2006/relationships/hyperlink" Target="http://www.arriscraft.com/" TargetMode="External"/><Relationship Id="rId1" Type="http://schemas.openxmlformats.org/officeDocument/2006/relationships/hyperlink" Target="https://www.arriscraft.com/resources/file/0aa2b0e4-22fb-4fb6-89d9-179d7257f2bd.pdf" TargetMode="External"/><Relationship Id="rId6" Type="http://schemas.openxmlformats.org/officeDocument/2006/relationships/drawing" Target="../drawings/drawing38.xml"/><Relationship Id="rId5" Type="http://schemas.openxmlformats.org/officeDocument/2006/relationships/printerSettings" Target="../printerSettings/printerSettings38.bin"/><Relationship Id="rId4" Type="http://schemas.openxmlformats.org/officeDocument/2006/relationships/hyperlink" Target="http://arriscraft.com/resources/file/def8159b-da00-487f-91e2-424c78378183.pdf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ac5d2607-4cc4-4c69-b213-b2f3031e877e.pdf" TargetMode="External"/><Relationship Id="rId2" Type="http://schemas.openxmlformats.org/officeDocument/2006/relationships/hyperlink" Target="http://www.arriscraft.com/" TargetMode="External"/><Relationship Id="rId1" Type="http://schemas.openxmlformats.org/officeDocument/2006/relationships/hyperlink" Target="https://www.arriscraft.com/resources/file/7c6363a1-b779-412b-bf48-4202897a7e5a.pdf" TargetMode="External"/><Relationship Id="rId6" Type="http://schemas.openxmlformats.org/officeDocument/2006/relationships/drawing" Target="../drawings/drawing39.xml"/><Relationship Id="rId5" Type="http://schemas.openxmlformats.org/officeDocument/2006/relationships/printerSettings" Target="../printerSettings/printerSettings39.bin"/><Relationship Id="rId4" Type="http://schemas.openxmlformats.org/officeDocument/2006/relationships/hyperlink" Target="http://arriscraft.com/resources/file/def8159b-da00-487f-91e2-424c78378183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arriscraft.com/resources/file/47c8b1b0-ec94-4c00-a0d3-d69c7a0c5ae5.pdf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ac5d2607-4cc4-4c69-b213-b2f3031e877e.pdf" TargetMode="External"/><Relationship Id="rId2" Type="http://schemas.openxmlformats.org/officeDocument/2006/relationships/hyperlink" Target="http://www.arriscraft.com/" TargetMode="External"/><Relationship Id="rId1" Type="http://schemas.openxmlformats.org/officeDocument/2006/relationships/hyperlink" Target="https://www.arriscraft.com/resources/file/b2131937-d7ae-4664-b132-0bc045e44dc4.pdf" TargetMode="External"/><Relationship Id="rId6" Type="http://schemas.openxmlformats.org/officeDocument/2006/relationships/drawing" Target="../drawings/drawing40.xml"/><Relationship Id="rId5" Type="http://schemas.openxmlformats.org/officeDocument/2006/relationships/printerSettings" Target="../printerSettings/printerSettings40.bin"/><Relationship Id="rId4" Type="http://schemas.openxmlformats.org/officeDocument/2006/relationships/hyperlink" Target="http://arriscraft.com/resources/file/def8159b-da00-487f-91e2-424c78378183.pdf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5" Type="http://schemas.openxmlformats.org/officeDocument/2006/relationships/drawing" Target="../drawings/drawing41.xml"/><Relationship Id="rId4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5" Type="http://schemas.openxmlformats.org/officeDocument/2006/relationships/drawing" Target="../drawings/drawing42.xml"/><Relationship Id="rId4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5" Type="http://schemas.openxmlformats.org/officeDocument/2006/relationships/drawing" Target="../drawings/drawing43.xml"/><Relationship Id="rId4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resources/file/cae574b3-60b4-4524-815c-08b38f2b0322.pdf" TargetMode="External"/><Relationship Id="rId2" Type="http://schemas.openxmlformats.org/officeDocument/2006/relationships/hyperlink" Target="http://www.arriscraft.com/resources/file/13c872c8-80e0-452f-8ace-810b59943f4b.pdf" TargetMode="External"/><Relationship Id="rId1" Type="http://schemas.openxmlformats.org/officeDocument/2006/relationships/hyperlink" Target="http://www.arriscraft.com/" TargetMode="External"/><Relationship Id="rId5" Type="http://schemas.openxmlformats.org/officeDocument/2006/relationships/drawing" Target="../drawings/drawing44.xml"/><Relationship Id="rId4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" TargetMode="External"/><Relationship Id="rId2" Type="http://schemas.openxmlformats.org/officeDocument/2006/relationships/hyperlink" Target="http://arriscraft.com/resources/file/44bd3405-854c-47d9-9fbe-2bf552a8c0bc.pdf" TargetMode="External"/><Relationship Id="rId1" Type="http://schemas.openxmlformats.org/officeDocument/2006/relationships/hyperlink" Target="http://www.arriscraft.com/resources/file/cae574b3-60b4-4524-815c-08b38f2b0322.pdf" TargetMode="External"/><Relationship Id="rId5" Type="http://schemas.openxmlformats.org/officeDocument/2006/relationships/drawing" Target="../drawings/drawing45.xml"/><Relationship Id="rId4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://arriscraft.com/resources/file/4bd8da09-fa15-4e6b-9c1c-34a5ccbfe4b0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arriscraft.com/resources/file/def8159b-da00-487f-91e2-424c78378183.pdf" TargetMode="External"/><Relationship Id="rId2" Type="http://schemas.openxmlformats.org/officeDocument/2006/relationships/hyperlink" Target="http://arriscraft.com/resources/file/ac5d2607-4cc4-4c69-b213-b2f3031e877e.pdf" TargetMode="External"/><Relationship Id="rId1" Type="http://schemas.openxmlformats.org/officeDocument/2006/relationships/hyperlink" Target="http://www.arriscraft.com/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arriscraft.com/resources/file/44bd3405-854c-47d9-9fbe-2bf552a8c0bc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" TargetMode="External"/><Relationship Id="rId2" Type="http://schemas.openxmlformats.org/officeDocument/2006/relationships/hyperlink" Target="http://arriscraft.com/resources/file/44bd3405-854c-47d9-9fbe-2bf552a8c0bc.pdf" TargetMode="External"/><Relationship Id="rId1" Type="http://schemas.openxmlformats.org/officeDocument/2006/relationships/hyperlink" Target="http://www.arriscraft.com/resources/file/cae574b3-60b4-4524-815c-08b38f2b0322.pdf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resources/file/cae574b3-60b4-4524-815c-08b38f2b0322.pdf" TargetMode="External"/><Relationship Id="rId2" Type="http://schemas.openxmlformats.org/officeDocument/2006/relationships/hyperlink" Target="http://www.arriscraft.com/resources/file/54490b3e-156e-4543-ac78-51846a93fd46.pdf" TargetMode="External"/><Relationship Id="rId1" Type="http://schemas.openxmlformats.org/officeDocument/2006/relationships/hyperlink" Target="http://www.arriscraft.com/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riscraft.com/resources/file/cae574b3-60b4-4524-815c-08b38f2b0322.pdf" TargetMode="External"/><Relationship Id="rId2" Type="http://schemas.openxmlformats.org/officeDocument/2006/relationships/hyperlink" Target="http://www.arriscraft.com/resources/file/6689d069-6c94-4cf7-a0a1-7f6b86efa0bf.pdf" TargetMode="External"/><Relationship Id="rId1" Type="http://schemas.openxmlformats.org/officeDocument/2006/relationships/hyperlink" Target="http://www.arriscraft.com/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D54"/>
  <sheetViews>
    <sheetView tabSelected="1" topLeftCell="B1" zoomScaleNormal="100" workbookViewId="0">
      <selection activeCell="B30" sqref="B30"/>
    </sheetView>
  </sheetViews>
  <sheetFormatPr defaultColWidth="9.109375" defaultRowHeight="13.2" x14ac:dyDescent="0.25"/>
  <cols>
    <col min="1" max="1" width="4.6640625" style="23" customWidth="1"/>
    <col min="2" max="2" width="16.6640625" style="321" customWidth="1"/>
    <col min="3" max="3" width="48.6640625" style="23" customWidth="1"/>
    <col min="4" max="4" width="32.6640625" style="23" customWidth="1"/>
    <col min="5" max="16384" width="9.109375" style="23"/>
  </cols>
  <sheetData>
    <row r="1" spans="1:4" ht="24" customHeight="1" x14ac:dyDescent="0.25"/>
    <row r="2" spans="1:4" ht="57" customHeight="1" x14ac:dyDescent="0.25">
      <c r="B2" s="23"/>
      <c r="C2" s="272"/>
    </row>
    <row r="3" spans="1:4" ht="24" customHeight="1" x14ac:dyDescent="0.25">
      <c r="B3" s="471" t="s">
        <v>308</v>
      </c>
      <c r="C3" s="471"/>
      <c r="D3" s="471"/>
    </row>
    <row r="4" spans="1:4" s="22" customFormat="1" ht="18" customHeight="1" x14ac:dyDescent="0.25">
      <c r="B4" s="322" t="s">
        <v>15</v>
      </c>
      <c r="C4" s="469" t="s">
        <v>14</v>
      </c>
      <c r="D4" s="470"/>
    </row>
    <row r="5" spans="1:4" ht="12.75" customHeight="1" x14ac:dyDescent="0.25">
      <c r="A5" s="323"/>
      <c r="B5" s="166" t="s">
        <v>116</v>
      </c>
      <c r="C5" s="324" t="s">
        <v>121</v>
      </c>
      <c r="D5" s="472" t="s">
        <v>123</v>
      </c>
    </row>
    <row r="6" spans="1:4" ht="12.75" customHeight="1" x14ac:dyDescent="0.25">
      <c r="A6" s="325"/>
      <c r="B6" s="165" t="s">
        <v>117</v>
      </c>
      <c r="C6" s="326" t="s">
        <v>155</v>
      </c>
      <c r="D6" s="473"/>
    </row>
    <row r="7" spans="1:4" ht="12.75" customHeight="1" x14ac:dyDescent="0.25">
      <c r="A7" s="325"/>
      <c r="B7" s="167" t="s">
        <v>118</v>
      </c>
      <c r="C7" s="327" t="s">
        <v>156</v>
      </c>
      <c r="D7" s="473"/>
    </row>
    <row r="8" spans="1:4" ht="12.75" customHeight="1" x14ac:dyDescent="0.25">
      <c r="A8" s="325"/>
      <c r="B8" s="165" t="s">
        <v>120</v>
      </c>
      <c r="C8" s="326" t="s">
        <v>60</v>
      </c>
      <c r="D8" s="473"/>
    </row>
    <row r="9" spans="1:4" ht="12.75" customHeight="1" x14ac:dyDescent="0.25">
      <c r="A9" s="328"/>
      <c r="B9" s="168" t="s">
        <v>119</v>
      </c>
      <c r="C9" s="329" t="s">
        <v>122</v>
      </c>
      <c r="D9" s="474"/>
    </row>
    <row r="10" spans="1:4" ht="12.75" customHeight="1" x14ac:dyDescent="0.25">
      <c r="A10" s="330"/>
      <c r="B10" s="181" t="s">
        <v>124</v>
      </c>
      <c r="C10" s="331" t="s">
        <v>214</v>
      </c>
      <c r="D10" s="475" t="s">
        <v>129</v>
      </c>
    </row>
    <row r="11" spans="1:4" ht="12.75" customHeight="1" x14ac:dyDescent="0.25">
      <c r="A11" s="332"/>
      <c r="B11" s="182" t="s">
        <v>127</v>
      </c>
      <c r="C11" s="333" t="s">
        <v>128</v>
      </c>
      <c r="D11" s="476"/>
    </row>
    <row r="12" spans="1:4" ht="12.75" customHeight="1" x14ac:dyDescent="0.25">
      <c r="A12" s="332"/>
      <c r="B12" s="191" t="s">
        <v>125</v>
      </c>
      <c r="C12" s="334" t="s">
        <v>157</v>
      </c>
      <c r="D12" s="476"/>
    </row>
    <row r="13" spans="1:4" ht="12.75" customHeight="1" x14ac:dyDescent="0.25">
      <c r="A13" s="332"/>
      <c r="B13" s="182" t="s">
        <v>161</v>
      </c>
      <c r="C13" s="333" t="s">
        <v>158</v>
      </c>
      <c r="D13" s="476"/>
    </row>
    <row r="14" spans="1:4" ht="12.75" customHeight="1" x14ac:dyDescent="0.25">
      <c r="A14" s="332"/>
      <c r="B14" s="191" t="s">
        <v>126</v>
      </c>
      <c r="C14" s="334" t="s">
        <v>159</v>
      </c>
      <c r="D14" s="476"/>
    </row>
    <row r="15" spans="1:4" ht="12.75" customHeight="1" x14ac:dyDescent="0.25">
      <c r="A15" s="335"/>
      <c r="B15" s="193" t="s">
        <v>162</v>
      </c>
      <c r="C15" s="336" t="s">
        <v>160</v>
      </c>
      <c r="D15" s="477"/>
    </row>
    <row r="16" spans="1:4" ht="12.75" customHeight="1" x14ac:dyDescent="0.25">
      <c r="A16" s="337"/>
      <c r="B16" s="194" t="s">
        <v>130</v>
      </c>
      <c r="C16" s="338" t="s">
        <v>188</v>
      </c>
      <c r="D16" s="478" t="s">
        <v>143</v>
      </c>
    </row>
    <row r="17" spans="1:4" ht="12.75" customHeight="1" x14ac:dyDescent="0.25">
      <c r="A17" s="337"/>
      <c r="B17" s="191" t="s">
        <v>131</v>
      </c>
      <c r="C17" s="334" t="s">
        <v>187</v>
      </c>
      <c r="D17" s="478"/>
    </row>
    <row r="18" spans="1:4" ht="12.75" customHeight="1" x14ac:dyDescent="0.25">
      <c r="A18" s="337"/>
      <c r="B18" s="194" t="s">
        <v>132</v>
      </c>
      <c r="C18" s="338" t="s">
        <v>144</v>
      </c>
      <c r="D18" s="478"/>
    </row>
    <row r="19" spans="1:4" ht="12.75" customHeight="1" x14ac:dyDescent="0.25">
      <c r="A19" s="337"/>
      <c r="B19" s="191" t="s">
        <v>133</v>
      </c>
      <c r="C19" s="334" t="s">
        <v>145</v>
      </c>
      <c r="D19" s="478"/>
    </row>
    <row r="20" spans="1:4" ht="12.75" customHeight="1" x14ac:dyDescent="0.25">
      <c r="A20" s="337"/>
      <c r="B20" s="194" t="s">
        <v>139</v>
      </c>
      <c r="C20" s="338" t="s">
        <v>42</v>
      </c>
      <c r="D20" s="478"/>
    </row>
    <row r="21" spans="1:4" ht="12.75" customHeight="1" x14ac:dyDescent="0.25">
      <c r="A21" s="337"/>
      <c r="B21" s="191" t="s">
        <v>310</v>
      </c>
      <c r="C21" s="334" t="s">
        <v>311</v>
      </c>
      <c r="D21" s="478"/>
    </row>
    <row r="22" spans="1:4" ht="12.75" customHeight="1" x14ac:dyDescent="0.25">
      <c r="A22" s="337"/>
      <c r="B22" s="194" t="s">
        <v>140</v>
      </c>
      <c r="C22" s="338" t="s">
        <v>151</v>
      </c>
      <c r="D22" s="478"/>
    </row>
    <row r="23" spans="1:4" ht="12.75" customHeight="1" x14ac:dyDescent="0.25">
      <c r="A23" s="337"/>
      <c r="B23" s="191" t="s">
        <v>137</v>
      </c>
      <c r="C23" s="334" t="s">
        <v>149</v>
      </c>
      <c r="D23" s="478"/>
    </row>
    <row r="24" spans="1:4" ht="12.75" customHeight="1" x14ac:dyDescent="0.25">
      <c r="A24" s="337"/>
      <c r="B24" s="194" t="s">
        <v>138</v>
      </c>
      <c r="C24" s="338" t="s">
        <v>150</v>
      </c>
      <c r="D24" s="478"/>
    </row>
    <row r="25" spans="1:4" ht="12.75" customHeight="1" x14ac:dyDescent="0.25">
      <c r="A25" s="402"/>
      <c r="B25" s="191" t="s">
        <v>264</v>
      </c>
      <c r="C25" s="334" t="s">
        <v>266</v>
      </c>
      <c r="D25" s="479"/>
    </row>
    <row r="26" spans="1:4" ht="12.75" customHeight="1" x14ac:dyDescent="0.25">
      <c r="A26" s="402"/>
      <c r="B26" s="551" t="s">
        <v>265</v>
      </c>
      <c r="C26" s="552" t="s">
        <v>267</v>
      </c>
      <c r="D26" s="479"/>
    </row>
    <row r="27" spans="1:4" ht="12.75" customHeight="1" x14ac:dyDescent="0.25">
      <c r="A27" s="337"/>
      <c r="B27" s="191" t="s">
        <v>134</v>
      </c>
      <c r="C27" s="334" t="s">
        <v>146</v>
      </c>
      <c r="D27" s="478"/>
    </row>
    <row r="28" spans="1:4" ht="12.75" customHeight="1" x14ac:dyDescent="0.25">
      <c r="A28" s="337"/>
      <c r="B28" s="194" t="s">
        <v>135</v>
      </c>
      <c r="C28" s="338" t="s">
        <v>147</v>
      </c>
      <c r="D28" s="478"/>
    </row>
    <row r="29" spans="1:4" ht="12.75" customHeight="1" x14ac:dyDescent="0.25">
      <c r="A29" s="337"/>
      <c r="B29" s="191" t="s">
        <v>136</v>
      </c>
      <c r="C29" s="334" t="s">
        <v>148</v>
      </c>
      <c r="D29" s="478"/>
    </row>
    <row r="30" spans="1:4" ht="12.75" customHeight="1" x14ac:dyDescent="0.25">
      <c r="A30" s="337"/>
      <c r="B30" s="194" t="s">
        <v>298</v>
      </c>
      <c r="C30" s="338" t="s">
        <v>299</v>
      </c>
      <c r="D30" s="478"/>
    </row>
    <row r="31" spans="1:4" ht="12.75" customHeight="1" x14ac:dyDescent="0.25">
      <c r="A31" s="337"/>
      <c r="B31" s="191" t="s">
        <v>141</v>
      </c>
      <c r="C31" s="334" t="s">
        <v>152</v>
      </c>
      <c r="D31" s="478"/>
    </row>
    <row r="32" spans="1:4" ht="12.75" customHeight="1" x14ac:dyDescent="0.25">
      <c r="A32" s="337"/>
      <c r="B32" s="553" t="s">
        <v>142</v>
      </c>
      <c r="C32" s="554" t="s">
        <v>153</v>
      </c>
      <c r="D32" s="480"/>
    </row>
    <row r="33" spans="1:4" ht="12.75" hidden="1" customHeight="1" x14ac:dyDescent="0.25">
      <c r="A33" s="337"/>
      <c r="B33" s="387" t="s">
        <v>227</v>
      </c>
      <c r="C33" s="388" t="s">
        <v>233</v>
      </c>
      <c r="D33" s="481" t="s">
        <v>239</v>
      </c>
    </row>
    <row r="34" spans="1:4" ht="12.75" hidden="1" customHeight="1" x14ac:dyDescent="0.25">
      <c r="A34" s="337"/>
      <c r="B34" s="389" t="s">
        <v>228</v>
      </c>
      <c r="C34" s="339" t="s">
        <v>234</v>
      </c>
      <c r="D34" s="481"/>
    </row>
    <row r="35" spans="1:4" ht="12.75" hidden="1" customHeight="1" x14ac:dyDescent="0.25">
      <c r="A35" s="337"/>
      <c r="B35" s="387" t="s">
        <v>229</v>
      </c>
      <c r="C35" s="388" t="s">
        <v>235</v>
      </c>
      <c r="D35" s="481"/>
    </row>
    <row r="36" spans="1:4" ht="12.75" hidden="1" customHeight="1" x14ac:dyDescent="0.25">
      <c r="A36" s="337"/>
      <c r="B36" s="386" t="s">
        <v>230</v>
      </c>
      <c r="C36" s="339" t="s">
        <v>236</v>
      </c>
      <c r="D36" s="481"/>
    </row>
    <row r="37" spans="1:4" ht="12.75" hidden="1" customHeight="1" x14ac:dyDescent="0.25">
      <c r="A37" s="337"/>
      <c r="B37" s="390" t="s">
        <v>231</v>
      </c>
      <c r="C37" s="388" t="s">
        <v>237</v>
      </c>
      <c r="D37" s="481"/>
    </row>
    <row r="38" spans="1:4" ht="12.75" hidden="1" customHeight="1" x14ac:dyDescent="0.25">
      <c r="A38" s="337"/>
      <c r="B38" s="389" t="s">
        <v>232</v>
      </c>
      <c r="C38" s="339" t="s">
        <v>238</v>
      </c>
      <c r="D38" s="482"/>
    </row>
    <row r="39" spans="1:4" ht="12.75" customHeight="1" x14ac:dyDescent="0.25">
      <c r="A39" s="466"/>
      <c r="B39" s="423" t="s">
        <v>262</v>
      </c>
      <c r="C39" s="424" t="s">
        <v>244</v>
      </c>
      <c r="D39" s="483" t="s">
        <v>247</v>
      </c>
    </row>
    <row r="40" spans="1:4" ht="12.75" customHeight="1" x14ac:dyDescent="0.25">
      <c r="A40" s="467"/>
      <c r="B40" s="389" t="s">
        <v>251</v>
      </c>
      <c r="C40" s="339" t="s">
        <v>255</v>
      </c>
      <c r="D40" s="483"/>
    </row>
    <row r="41" spans="1:4" ht="12.75" customHeight="1" x14ac:dyDescent="0.25">
      <c r="A41" s="467"/>
      <c r="B41" s="425" t="s">
        <v>252</v>
      </c>
      <c r="C41" s="426" t="s">
        <v>256</v>
      </c>
      <c r="D41" s="483"/>
    </row>
    <row r="42" spans="1:4" ht="12.75" customHeight="1" x14ac:dyDescent="0.25">
      <c r="A42" s="467"/>
      <c r="B42" s="399" t="s">
        <v>253</v>
      </c>
      <c r="C42" s="400" t="s">
        <v>257</v>
      </c>
      <c r="D42" s="483"/>
    </row>
    <row r="43" spans="1:4" ht="12.75" customHeight="1" x14ac:dyDescent="0.25">
      <c r="A43" s="468"/>
      <c r="B43" s="427" t="s">
        <v>254</v>
      </c>
      <c r="C43" s="428" t="s">
        <v>258</v>
      </c>
      <c r="D43" s="484"/>
    </row>
    <row r="44" spans="1:4" ht="12.75" customHeight="1" x14ac:dyDescent="0.25">
      <c r="A44" s="463"/>
      <c r="B44" s="451" t="s">
        <v>292</v>
      </c>
      <c r="C44" s="452" t="s">
        <v>293</v>
      </c>
      <c r="D44" s="460" t="s">
        <v>154</v>
      </c>
    </row>
    <row r="45" spans="1:4" ht="12.75" customHeight="1" x14ac:dyDescent="0.25">
      <c r="A45" s="464"/>
      <c r="B45" s="429" t="s">
        <v>79</v>
      </c>
      <c r="C45" s="430" t="s">
        <v>78</v>
      </c>
      <c r="D45" s="461"/>
    </row>
    <row r="46" spans="1:4" ht="12.75" customHeight="1" x14ac:dyDescent="0.25">
      <c r="A46" s="465"/>
      <c r="B46" s="431" t="s">
        <v>80</v>
      </c>
      <c r="C46" s="401" t="s">
        <v>81</v>
      </c>
      <c r="D46" s="462"/>
    </row>
    <row r="47" spans="1:4" x14ac:dyDescent="0.25">
      <c r="C47" s="340" t="s">
        <v>215</v>
      </c>
      <c r="D47" s="341" t="s">
        <v>63</v>
      </c>
    </row>
    <row r="48" spans="1:4" x14ac:dyDescent="0.25">
      <c r="B48" s="342"/>
      <c r="C48" s="340" t="s">
        <v>242</v>
      </c>
      <c r="D48" s="23" t="s">
        <v>243</v>
      </c>
    </row>
    <row r="49" spans="2:4" x14ac:dyDescent="0.25">
      <c r="B49" s="343"/>
      <c r="C49" s="340" t="s">
        <v>261</v>
      </c>
      <c r="D49" s="341" t="s">
        <v>243</v>
      </c>
    </row>
    <row r="50" spans="2:4" x14ac:dyDescent="0.25">
      <c r="C50" s="340" t="s">
        <v>281</v>
      </c>
      <c r="D50" s="341" t="s">
        <v>243</v>
      </c>
    </row>
    <row r="51" spans="2:4" x14ac:dyDescent="0.25">
      <c r="C51" s="340" t="s">
        <v>290</v>
      </c>
      <c r="D51" s="341" t="s">
        <v>243</v>
      </c>
    </row>
    <row r="52" spans="2:4" x14ac:dyDescent="0.25">
      <c r="C52" s="340" t="s">
        <v>296</v>
      </c>
      <c r="D52" s="341" t="s">
        <v>243</v>
      </c>
    </row>
    <row r="53" spans="2:4" x14ac:dyDescent="0.25">
      <c r="C53" s="340" t="s">
        <v>297</v>
      </c>
      <c r="D53" s="341" t="s">
        <v>243</v>
      </c>
    </row>
    <row r="54" spans="2:4" x14ac:dyDescent="0.25">
      <c r="C54" s="340" t="s">
        <v>300</v>
      </c>
      <c r="D54" s="341" t="s">
        <v>243</v>
      </c>
    </row>
  </sheetData>
  <sheetProtection algorithmName="SHA-512" hashValue="OP9IHq9nOcNI4y/3/C0haRAtZ9k1mwO+OY1DXm3UasEEHrpMGIbyQHYTdhLPnRu1GyM27U+L7xqBBGyjiAoZmA==" saltValue="uz4gR2nr4j6Vg1dayWiFUA==" spinCount="100000" sheet="1" selectLockedCells="1"/>
  <mergeCells count="10">
    <mergeCell ref="D44:D46"/>
    <mergeCell ref="A44:A46"/>
    <mergeCell ref="A39:A43"/>
    <mergeCell ref="C4:D4"/>
    <mergeCell ref="B3:D3"/>
    <mergeCell ref="D5:D9"/>
    <mergeCell ref="D10:D15"/>
    <mergeCell ref="D16:D32"/>
    <mergeCell ref="D33:D38"/>
    <mergeCell ref="D39:D43"/>
  </mergeCells>
  <phoneticPr fontId="2" type="noConversion"/>
  <hyperlinks>
    <hyperlink ref="B5" location="'CU3'!A1" display="CU3" xr:uid="{00000000-0004-0000-0000-000000000000}"/>
    <hyperlink ref="B6" location="'GC3'!A1" display="GC3" xr:uid="{00000000-0004-0000-0000-000001000000}"/>
    <hyperlink ref="B7" location="'GC4'!A1" display="GC4" xr:uid="{00000000-0004-0000-0000-000002000000}"/>
    <hyperlink ref="B8" location="'MH2'!A1" display="MH2" xr:uid="{00000000-0004-0000-0000-000003000000}"/>
    <hyperlink ref="B18" location="'CD4'!A1" display="CD4" xr:uid="{00000000-0004-0000-0000-000004000000}"/>
    <hyperlink ref="B19" location="'CD5'!A1" display="CD5" xr:uid="{00000000-0004-0000-0000-000005000000}"/>
    <hyperlink ref="B10" location="'AS3'!A1" display="AS3" xr:uid="{00000000-0004-0000-0000-000007000000}"/>
    <hyperlink ref="B20" location="'ER2'!A1" display="ER2" xr:uid="{00000000-0004-0000-0000-000008000000}"/>
    <hyperlink ref="B22" location="'FR3'!A1" display="FR3" xr:uid="{00000000-0004-0000-0000-000009000000}"/>
    <hyperlink ref="B23" location="'LR3'!A1" display="LR3" xr:uid="{00000000-0004-0000-0000-00000A000000}"/>
    <hyperlink ref="B24" location="'LR4'!A1" display="LR4" xr:uid="{00000000-0004-0000-0000-00000B000000}"/>
    <hyperlink ref="B27" location="'SH2'!A1" display="SH2" xr:uid="{00000000-0004-0000-0000-00000C000000}"/>
    <hyperlink ref="B16" location="'CD3'!A1" display="CD3" xr:uid="{00000000-0004-0000-0000-00000D000000}"/>
    <hyperlink ref="B17" location="CD3b!A1" display="CD3b" xr:uid="{00000000-0004-0000-0000-00000E000000}"/>
    <hyperlink ref="B28" location="'SH3'!A1" display="SH3" xr:uid="{00000000-0004-0000-0000-00000F000000}"/>
    <hyperlink ref="B29" location="'SH4'!A1" display="SH4" xr:uid="{00000000-0004-0000-0000-000010000000}"/>
    <hyperlink ref="B31" location="UL3a!A1" display="UL3a" xr:uid="{00000000-0004-0000-0000-000011000000}"/>
    <hyperlink ref="B32" location="UL3c!A1" display="UL3c" xr:uid="{00000000-0004-0000-0000-000012000000}"/>
    <hyperlink ref="B9" location="'OC3'!A1" display="OC3" xr:uid="{00000000-0004-0000-0000-000013000000}"/>
    <hyperlink ref="B45" location="'CON31'!Print_Area" display="CON31" xr:uid="{00000000-0004-0000-0000-000014000000}"/>
    <hyperlink ref="B46" location="'TVB31'!Print_Area" display="TVB31" xr:uid="{00000000-0004-0000-0000-000015000000}"/>
    <hyperlink ref="B13" location="MID218j!A1" display="MID218j" xr:uid="{00000000-0004-0000-0000-000016000000}"/>
    <hyperlink ref="B15" location="MID358j!A1" display="MID358j" xr:uid="{00000000-0004-0000-0000-000017000000}"/>
    <hyperlink ref="B11" location="'COA3'!A1" display="COA3" xr:uid="{00000000-0004-0000-0000-000018000000}"/>
    <hyperlink ref="B12" location="'MID218'!A1" display="MID218" xr:uid="{00000000-0004-0000-0000-000019000000}"/>
    <hyperlink ref="B14" location="'MID358'!A1" display="MID358" xr:uid="{00000000-0004-0000-0000-00001A000000}"/>
    <hyperlink ref="B33" location="THIN_LR4!Print_Area" display="THIN_LR4!Print_Area" xr:uid="{00000000-0004-0000-0000-00001B000000}"/>
    <hyperlink ref="B34" location="'SH3'!Print_Area" display="'SH3'!Print_Area" xr:uid="{00000000-0004-0000-0000-00001C000000}"/>
    <hyperlink ref="B35" location="THIN_CD4!Print_Area" display="THIN_CD4!Print_Area" xr:uid="{00000000-0004-0000-0000-00001D000000}"/>
    <hyperlink ref="B36" location="THIN_UL3c!Print_Area" display="THIN_UL3c!Print_Area" xr:uid="{00000000-0004-0000-0000-00001E000000}"/>
    <hyperlink ref="B37" location="'THIN_FR3 '!Print_Area" display="'THIN_FR3 '!Print_Area" xr:uid="{00000000-0004-0000-0000-00001F000000}"/>
    <hyperlink ref="B38" location="'THIN_ER2 '!Print_Area" display="'THIN_ER2 '!Print_Area" xr:uid="{00000000-0004-0000-0000-000020000000}"/>
    <hyperlink ref="B39" location="'GB3'!Print_Area" display="GB3" xr:uid="{00000000-0004-0000-0000-000021000000}"/>
    <hyperlink ref="B40" location="AP3a!A1" display="AP3a" xr:uid="{00000000-0004-0000-0000-000022000000}"/>
    <hyperlink ref="B41" location="AP3c!A1" display="AP3c" xr:uid="{00000000-0004-0000-0000-000023000000}"/>
    <hyperlink ref="B42" location="'AST3a '!A1" display="AST3a" xr:uid="{00000000-0004-0000-0000-000024000000}"/>
    <hyperlink ref="B43" location="AST3c!A1" display="AST3c" xr:uid="{00000000-0004-0000-0000-000025000000}"/>
    <hyperlink ref="B25" location="'LR3'!A1" display="LR3" xr:uid="{E5A6304F-4D58-4D2C-A415-7B10831F053E}"/>
    <hyperlink ref="B30" location="'SH5'!Print_Area" display="SH5" xr:uid="{7017EA51-53CD-44DC-9A8B-96E9377D0F21}"/>
  </hyperlinks>
  <pageMargins left="0.75" right="0.75" top="1" bottom="1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tabColor theme="9"/>
    <pageSetUpPr autoPageBreaks="0"/>
  </sheetPr>
  <dimension ref="A1:H48"/>
  <sheetViews>
    <sheetView showGridLines="0" showRowColHeaders="0"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494" t="s">
        <v>158</v>
      </c>
      <c r="B1" s="494"/>
      <c r="C1" s="494"/>
      <c r="D1" s="494"/>
      <c r="E1" s="494"/>
      <c r="F1" s="494"/>
      <c r="G1" s="494"/>
      <c r="H1" s="494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2"/>
      <c r="C3" s="43"/>
      <c r="D3" s="133" t="s">
        <v>87</v>
      </c>
      <c r="E3" s="136">
        <v>200</v>
      </c>
      <c r="F3" s="158"/>
      <c r="G3" s="2"/>
      <c r="H3" s="3"/>
    </row>
    <row r="4" spans="1:8" ht="18" customHeight="1" x14ac:dyDescent="0.3">
      <c r="A4" s="22"/>
      <c r="B4" s="42"/>
      <c r="C4" s="43"/>
      <c r="D4" s="134" t="s">
        <v>13</v>
      </c>
      <c r="E4" s="137">
        <v>0</v>
      </c>
      <c r="F4" s="159"/>
      <c r="G4" s="160"/>
      <c r="H4" s="160"/>
    </row>
    <row r="5" spans="1:8" ht="18" customHeight="1" x14ac:dyDescent="0.3">
      <c r="A5" s="22"/>
      <c r="B5" s="42"/>
      <c r="C5" s="43"/>
      <c r="D5" s="134" t="s">
        <v>86</v>
      </c>
      <c r="E5" s="347">
        <f>E3+E3*E4/100</f>
        <v>200</v>
      </c>
      <c r="F5" s="16"/>
      <c r="G5" s="160"/>
      <c r="H5" s="160"/>
    </row>
    <row r="6" spans="1:8" ht="18" customHeight="1" x14ac:dyDescent="0.3">
      <c r="A6" s="22"/>
      <c r="B6" s="30"/>
      <c r="C6" s="31"/>
      <c r="D6" s="135" t="s">
        <v>77</v>
      </c>
      <c r="E6" s="197">
        <v>50</v>
      </c>
      <c r="F6" s="158"/>
      <c r="G6" s="2"/>
      <c r="H6" s="3"/>
    </row>
    <row r="7" spans="1:8" ht="18" customHeight="1" x14ac:dyDescent="0.3">
      <c r="A7" s="22"/>
      <c r="B7" s="42"/>
      <c r="C7" s="43"/>
      <c r="D7" s="134" t="s">
        <v>173</v>
      </c>
      <c r="E7" s="198">
        <v>0.375</v>
      </c>
      <c r="F7" s="158"/>
      <c r="G7" s="2"/>
      <c r="H7" s="3"/>
    </row>
    <row r="8" spans="1:8" ht="12.75" customHeight="1" x14ac:dyDescent="0.25">
      <c r="A8" s="22"/>
      <c r="B8" s="511" t="s">
        <v>174</v>
      </c>
      <c r="C8" s="511"/>
      <c r="D8" s="511"/>
      <c r="E8" s="511"/>
      <c r="F8" s="511"/>
      <c r="G8" s="160"/>
      <c r="H8" s="160"/>
    </row>
    <row r="9" spans="1:8" ht="12.75" customHeight="1" x14ac:dyDescent="0.25">
      <c r="A9" s="22"/>
      <c r="B9" s="25"/>
      <c r="C9" s="25"/>
      <c r="D9" s="25"/>
      <c r="E9" s="22"/>
      <c r="F9" s="22"/>
      <c r="G9" s="160"/>
      <c r="H9" s="160"/>
    </row>
    <row r="10" spans="1:8" ht="18" customHeight="1" thickBot="1" x14ac:dyDescent="0.35">
      <c r="A10" s="22"/>
      <c r="B10" s="273" t="s">
        <v>100</v>
      </c>
      <c r="C10" s="274"/>
      <c r="D10" s="161"/>
      <c r="E10" s="495" t="s">
        <v>99</v>
      </c>
      <c r="F10" s="496"/>
      <c r="G10" s="174" t="s">
        <v>110</v>
      </c>
      <c r="H10" s="3"/>
    </row>
    <row r="11" spans="1:8" ht="18" customHeight="1" thickTop="1" x14ac:dyDescent="0.3">
      <c r="A11" s="22"/>
      <c r="B11" s="275" t="s">
        <v>101</v>
      </c>
      <c r="C11" s="276">
        <f>E5</f>
        <v>200</v>
      </c>
      <c r="D11" s="161"/>
      <c r="E11" s="497" t="s">
        <v>169</v>
      </c>
      <c r="F11" s="498"/>
      <c r="G11" s="175">
        <f>E6</f>
        <v>50</v>
      </c>
      <c r="H11" s="3"/>
    </row>
    <row r="12" spans="1:8" ht="18" hidden="1" customHeight="1" thickTop="1" thickBot="1" x14ac:dyDescent="0.35">
      <c r="A12" s="22"/>
      <c r="B12" s="277" t="s">
        <v>175</v>
      </c>
      <c r="C12" s="278">
        <v>0.375</v>
      </c>
      <c r="D12" s="161"/>
      <c r="E12" s="195"/>
      <c r="F12" s="196" t="s">
        <v>176</v>
      </c>
      <c r="G12" s="183">
        <f>60/2.125</f>
        <v>28.235294117647058</v>
      </c>
      <c r="H12" s="3"/>
    </row>
    <row r="13" spans="1:8" ht="18" hidden="1" customHeight="1" thickTop="1" x14ac:dyDescent="0.3">
      <c r="A13" s="22"/>
      <c r="B13" s="277" t="s">
        <v>177</v>
      </c>
      <c r="C13" s="278">
        <v>0.5</v>
      </c>
      <c r="D13" s="161"/>
      <c r="E13" s="195"/>
      <c r="F13" s="196"/>
      <c r="G13" s="183"/>
      <c r="H13" s="3"/>
    </row>
    <row r="14" spans="1:8" ht="18" hidden="1" customHeight="1" x14ac:dyDescent="0.3">
      <c r="A14" s="22"/>
      <c r="B14" s="279" t="s">
        <v>178</v>
      </c>
      <c r="C14" s="280">
        <f>(23.625*2.125)/144</f>
        <v>0.3486328125</v>
      </c>
      <c r="D14" s="161"/>
      <c r="E14" s="195"/>
      <c r="F14" s="196"/>
      <c r="G14" s="184"/>
      <c r="H14" s="3"/>
    </row>
    <row r="15" spans="1:8" ht="18" hidden="1" customHeight="1" x14ac:dyDescent="0.3">
      <c r="A15" s="22"/>
      <c r="B15" s="279" t="s">
        <v>68</v>
      </c>
      <c r="C15" s="280">
        <f>100/C14</f>
        <v>286.83473389355743</v>
      </c>
      <c r="D15" s="161"/>
      <c r="E15" s="195"/>
      <c r="F15" s="196"/>
      <c r="G15" s="184"/>
      <c r="H15" s="3"/>
    </row>
    <row r="16" spans="1:8" ht="18" hidden="1" customHeight="1" x14ac:dyDescent="0.3">
      <c r="A16" s="22"/>
      <c r="B16" s="279" t="s">
        <v>176</v>
      </c>
      <c r="C16" s="280">
        <f>5/C14</f>
        <v>14.341736694677872</v>
      </c>
      <c r="D16" s="161"/>
      <c r="E16" s="195"/>
      <c r="F16" s="196"/>
      <c r="G16" s="184"/>
      <c r="H16" s="3"/>
    </row>
    <row r="17" spans="1:8" ht="18" hidden="1" customHeight="1" x14ac:dyDescent="0.3">
      <c r="A17" s="22"/>
      <c r="B17" s="279" t="s">
        <v>179</v>
      </c>
      <c r="C17" s="280">
        <f>(24*2.5)/144</f>
        <v>0.41666666666666669</v>
      </c>
      <c r="D17" s="161"/>
      <c r="E17" s="195"/>
      <c r="F17" s="196"/>
      <c r="G17" s="184"/>
      <c r="H17" s="3"/>
    </row>
    <row r="18" spans="1:8" ht="18" hidden="1" customHeight="1" x14ac:dyDescent="0.3">
      <c r="A18" s="22"/>
      <c r="B18" s="279" t="s">
        <v>180</v>
      </c>
      <c r="C18" s="280">
        <f>(24.125*2.625)/144</f>
        <v>0.43977864583333331</v>
      </c>
      <c r="D18" s="161"/>
      <c r="E18" s="195"/>
      <c r="F18" s="196"/>
      <c r="G18" s="184"/>
      <c r="H18" s="3"/>
    </row>
    <row r="19" spans="1:8" ht="18" customHeight="1" x14ac:dyDescent="0.25">
      <c r="A19" s="22"/>
      <c r="B19" s="279" t="s">
        <v>112</v>
      </c>
      <c r="C19" s="281">
        <f>IF(E7=0.375,(C15*C17),(C15*C18))</f>
        <v>119.51447245564893</v>
      </c>
      <c r="D19" s="161"/>
      <c r="E19" s="185"/>
      <c r="F19" s="186" t="s">
        <v>109</v>
      </c>
      <c r="G19" s="187">
        <f>IF(E7=0.375,(G12*2.5/12),(G12*2.625/12))</f>
        <v>5.882352941176471</v>
      </c>
      <c r="H19" s="162"/>
    </row>
    <row r="20" spans="1:8" ht="18" customHeight="1" thickBot="1" x14ac:dyDescent="0.3">
      <c r="A20" s="22"/>
      <c r="B20" s="279" t="s">
        <v>111</v>
      </c>
      <c r="C20" s="282">
        <f>IF(E7=0.375,(C16*C17),(C16*C18))</f>
        <v>5.9757236227824464</v>
      </c>
      <c r="D20" s="161"/>
      <c r="E20" s="188"/>
      <c r="F20" s="189"/>
      <c r="G20" s="190"/>
      <c r="H20" s="162"/>
    </row>
    <row r="21" spans="1:8" ht="18" customHeight="1" thickTop="1" thickBot="1" x14ac:dyDescent="0.3">
      <c r="A21" s="22"/>
      <c r="B21" s="283" t="s">
        <v>69</v>
      </c>
      <c r="C21" s="284">
        <f>IF(MOD(C11,C19)&lt;=(C19*0.65),ROUNDDOWN(+E5/C19,0),ROUNDUP(+E5/C19,0))</f>
        <v>2</v>
      </c>
      <c r="D21" s="161"/>
      <c r="E21" s="505" t="s">
        <v>108</v>
      </c>
      <c r="F21" s="506"/>
      <c r="G21" s="284">
        <f>ROUNDUP(E6/G19,0)</f>
        <v>9</v>
      </c>
      <c r="H21" s="162"/>
    </row>
    <row r="22" spans="1:8" ht="18" customHeight="1" thickTop="1" x14ac:dyDescent="0.25">
      <c r="A22" s="22"/>
      <c r="B22" s="285" t="s">
        <v>113</v>
      </c>
      <c r="C22" s="284">
        <f>IF(ROUNDUP((C11-(C19*C21)),0)&lt;0,0,ROUNDUP((C11-(C19*C21))/C20,0))</f>
        <v>0</v>
      </c>
      <c r="D22" s="161"/>
      <c r="E22" s="507" t="s">
        <v>76</v>
      </c>
      <c r="F22" s="507"/>
      <c r="G22" s="286">
        <v>52</v>
      </c>
    </row>
    <row r="23" spans="1:8" ht="12.75" customHeight="1" x14ac:dyDescent="0.25">
      <c r="A23" s="22"/>
      <c r="B23" s="287" t="s">
        <v>71</v>
      </c>
      <c r="C23" s="78">
        <v>1670</v>
      </c>
      <c r="D23" s="161"/>
    </row>
    <row r="24" spans="1:8" ht="12.75" customHeight="1" x14ac:dyDescent="0.25">
      <c r="A24" s="22"/>
      <c r="B24" s="217" t="s">
        <v>114</v>
      </c>
      <c r="C24" s="157">
        <v>83</v>
      </c>
      <c r="D24" s="161"/>
      <c r="E24" s="161"/>
      <c r="F24" s="161"/>
      <c r="G24" s="161"/>
    </row>
    <row r="25" spans="1:8" ht="12.75" customHeight="1" x14ac:dyDescent="0.25">
      <c r="A25" s="22"/>
      <c r="B25" s="217"/>
      <c r="C25" s="157"/>
      <c r="D25" s="161"/>
      <c r="E25" s="161"/>
      <c r="F25" s="161"/>
      <c r="G25" s="161"/>
    </row>
    <row r="26" spans="1:8" ht="18" customHeight="1" x14ac:dyDescent="0.25">
      <c r="A26" s="176"/>
      <c r="B26" s="176"/>
      <c r="C26" s="177" t="s">
        <v>115</v>
      </c>
      <c r="D26" s="178">
        <f>(C21*C19)+(C22*C20)</f>
        <v>239.02894491129786</v>
      </c>
      <c r="E26" s="179" t="s">
        <v>171</v>
      </c>
      <c r="F26" s="176"/>
      <c r="G26" s="176"/>
      <c r="H26" s="176"/>
    </row>
    <row r="27" spans="1:8" s="11" customFormat="1" ht="18" customHeight="1" x14ac:dyDescent="0.25">
      <c r="A27" s="176"/>
      <c r="B27" s="176"/>
      <c r="C27" s="177" t="s">
        <v>102</v>
      </c>
      <c r="D27" s="178">
        <f>(C21*C23)+(C22*C24)</f>
        <v>3340</v>
      </c>
      <c r="E27" s="179" t="s">
        <v>3</v>
      </c>
      <c r="F27" s="176"/>
      <c r="G27" s="176"/>
      <c r="H27" s="176"/>
    </row>
    <row r="28" spans="1:8" s="11" customFormat="1" ht="18" customHeight="1" x14ac:dyDescent="0.3">
      <c r="A28" s="288"/>
      <c r="B28" s="288"/>
      <c r="C28" s="289" t="s">
        <v>98</v>
      </c>
      <c r="D28" s="290">
        <f>G19*G21</f>
        <v>52.941176470588239</v>
      </c>
      <c r="E28" s="291" t="s">
        <v>172</v>
      </c>
      <c r="F28" s="292"/>
      <c r="G28" s="288"/>
      <c r="H28" s="293"/>
    </row>
    <row r="29" spans="1:8" s="11" customFormat="1" ht="18" customHeight="1" x14ac:dyDescent="0.3">
      <c r="A29" s="288"/>
      <c r="B29" s="288"/>
      <c r="C29" s="289" t="s">
        <v>103</v>
      </c>
      <c r="D29" s="290">
        <f>G21*G22</f>
        <v>468</v>
      </c>
      <c r="E29" s="291" t="s">
        <v>3</v>
      </c>
      <c r="F29" s="292"/>
      <c r="G29" s="288"/>
      <c r="H29" s="293"/>
    </row>
    <row r="30" spans="1:8" s="11" customFormat="1" ht="18" customHeight="1" x14ac:dyDescent="0.25">
      <c r="A30" s="39"/>
      <c r="B30" s="39"/>
      <c r="C30" s="69" t="s">
        <v>95</v>
      </c>
      <c r="D30" s="70">
        <f>ROUND(+D26/25,0)</f>
        <v>10</v>
      </c>
      <c r="E30" s="294" t="s">
        <v>170</v>
      </c>
      <c r="F30" s="40"/>
      <c r="G30" s="39"/>
      <c r="H30" s="35"/>
    </row>
    <row r="31" spans="1:8" s="11" customFormat="1" ht="18" customHeight="1" x14ac:dyDescent="0.25">
      <c r="A31" s="39"/>
      <c r="B31" s="295"/>
      <c r="C31" s="69" t="s">
        <v>95</v>
      </c>
      <c r="D31" s="70">
        <f>IF(E7=0.375,ROUND(+D26/60,0),ROUND(+D26/45,0))</f>
        <v>4</v>
      </c>
      <c r="E31" s="294" t="s">
        <v>181</v>
      </c>
      <c r="F31" s="40"/>
      <c r="G31" s="39"/>
      <c r="H31" s="35"/>
    </row>
    <row r="32" spans="1:8" s="11" customFormat="1" x14ac:dyDescent="0.25">
      <c r="A32" s="39"/>
      <c r="B32" s="510" t="s">
        <v>8</v>
      </c>
      <c r="C32" s="510"/>
      <c r="D32" s="510"/>
      <c r="E32" s="510"/>
      <c r="F32" s="510"/>
      <c r="G32" s="510"/>
      <c r="H32" s="35"/>
    </row>
    <row r="33" spans="1:8" s="11" customFormat="1" ht="18" customHeight="1" x14ac:dyDescent="0.25">
      <c r="A33" s="176"/>
      <c r="B33" s="176"/>
      <c r="C33" s="177" t="s">
        <v>97</v>
      </c>
      <c r="D33" s="178">
        <f>SUM(D27+D29)</f>
        <v>3808</v>
      </c>
      <c r="E33" s="179" t="s">
        <v>3</v>
      </c>
      <c r="F33" s="176"/>
      <c r="G33" s="176"/>
      <c r="H33" s="180"/>
    </row>
    <row r="34" spans="1:8" s="11" customFormat="1" ht="12.75" customHeight="1" x14ac:dyDescent="0.25">
      <c r="A34" s="23"/>
      <c r="B34" s="23"/>
      <c r="C34" s="23"/>
      <c r="D34" s="23"/>
      <c r="E34" s="23"/>
      <c r="F34" s="23"/>
      <c r="G34" s="23"/>
      <c r="H34" s="23"/>
    </row>
    <row r="35" spans="1:8" s="11" customFormat="1" ht="12.75" customHeight="1" x14ac:dyDescent="0.25">
      <c r="A35" s="23"/>
      <c r="B35" s="23"/>
      <c r="C35" s="23"/>
      <c r="D35" s="23"/>
      <c r="E35" s="23"/>
      <c r="F35" s="23"/>
      <c r="G35" s="23"/>
      <c r="H35" s="23"/>
    </row>
    <row r="36" spans="1:8" s="11" customFormat="1" ht="12.75" customHeight="1" x14ac:dyDescent="0.25">
      <c r="A36" s="23"/>
      <c r="B36" s="23"/>
      <c r="C36" s="23"/>
      <c r="D36" s="23"/>
      <c r="E36" s="23"/>
      <c r="F36" s="23"/>
      <c r="G36" s="23"/>
      <c r="H36" s="23"/>
    </row>
    <row r="37" spans="1:8" s="11" customFormat="1" ht="17.399999999999999" x14ac:dyDescent="0.25">
      <c r="A37" s="23"/>
      <c r="B37" s="23"/>
      <c r="C37" s="23"/>
      <c r="D37" s="23"/>
      <c r="E37" s="23"/>
      <c r="F37" s="23"/>
      <c r="G37" s="23"/>
      <c r="H37" s="223" t="s">
        <v>9</v>
      </c>
    </row>
    <row r="38" spans="1:8" s="11" customFormat="1" ht="12.75" customHeight="1" x14ac:dyDescent="0.25">
      <c r="A38" s="13"/>
      <c r="B38" s="13"/>
      <c r="C38" s="13"/>
      <c r="D38" s="13"/>
      <c r="E38" s="13"/>
      <c r="F38" s="13"/>
      <c r="G38" s="13"/>
      <c r="H38" s="13"/>
    </row>
    <row r="39" spans="1:8" s="11" customFormat="1" ht="12.75" customHeight="1" x14ac:dyDescent="0.25">
      <c r="A39" s="13"/>
      <c r="B39" s="13"/>
      <c r="C39" s="13"/>
      <c r="D39" s="13"/>
      <c r="F39" s="13"/>
      <c r="G39" s="13"/>
      <c r="H39" s="224" t="s">
        <v>56</v>
      </c>
    </row>
    <row r="40" spans="1:8" ht="12.75" customHeight="1" x14ac:dyDescent="0.25">
      <c r="A40" s="13"/>
      <c r="B40" s="13"/>
      <c r="C40" s="13"/>
      <c r="D40" s="13"/>
      <c r="E40" s="13"/>
      <c r="F40" s="13"/>
      <c r="G40" s="13"/>
      <c r="H40" s="199" t="s">
        <v>55</v>
      </c>
    </row>
    <row r="41" spans="1:8" ht="12.75" customHeight="1" x14ac:dyDescent="0.25">
      <c r="A41" s="13"/>
      <c r="B41" s="13"/>
      <c r="C41" s="13"/>
      <c r="D41" s="13"/>
      <c r="E41" s="13"/>
      <c r="F41" s="13"/>
      <c r="G41" s="13"/>
      <c r="H41" s="246"/>
    </row>
    <row r="42" spans="1:8" ht="12.75" customHeight="1" x14ac:dyDescent="0.25">
      <c r="A42" s="13"/>
      <c r="B42" s="13"/>
      <c r="C42" s="13"/>
      <c r="D42" s="13"/>
      <c r="E42" s="13"/>
      <c r="F42" s="13"/>
      <c r="G42" s="13"/>
      <c r="H42" s="199" t="s">
        <v>57</v>
      </c>
    </row>
    <row r="43" spans="1:8" ht="12.75" customHeight="1" x14ac:dyDescent="0.25">
      <c r="A43" s="13"/>
      <c r="B43" s="13"/>
      <c r="C43" s="13"/>
      <c r="D43" s="13"/>
      <c r="E43" s="13"/>
      <c r="F43" s="13"/>
      <c r="G43" s="11"/>
      <c r="H43" s="199" t="s">
        <v>10</v>
      </c>
    </row>
    <row r="44" spans="1:8" ht="12.75" customHeight="1" x14ac:dyDescent="0.25">
      <c r="A44" s="13"/>
      <c r="B44" s="13"/>
      <c r="C44" s="13"/>
      <c r="D44" s="13"/>
      <c r="E44" s="13"/>
      <c r="F44" s="13"/>
      <c r="G44" s="11"/>
      <c r="H44" s="225" t="s">
        <v>7</v>
      </c>
    </row>
    <row r="45" spans="1:8" ht="12.75" customHeight="1" x14ac:dyDescent="0.25">
      <c r="A45" s="13"/>
      <c r="B45" s="13"/>
      <c r="C45" s="13"/>
      <c r="D45" s="13"/>
      <c r="E45" s="13"/>
      <c r="F45" s="13"/>
      <c r="G45" s="11"/>
      <c r="H45" s="225"/>
    </row>
    <row r="46" spans="1:8" ht="21" customHeight="1" x14ac:dyDescent="0.3">
      <c r="B46" s="15" t="s">
        <v>16</v>
      </c>
      <c r="C46" s="508"/>
      <c r="D46" s="508"/>
      <c r="E46" s="508"/>
      <c r="F46" s="508"/>
      <c r="G46" s="508"/>
      <c r="H46" s="508"/>
    </row>
    <row r="47" spans="1:8" ht="21" customHeight="1" x14ac:dyDescent="0.25">
      <c r="B47" s="13"/>
      <c r="C47" s="509"/>
      <c r="D47" s="509"/>
      <c r="E47" s="509"/>
      <c r="F47" s="509"/>
      <c r="G47" s="509"/>
      <c r="H47" s="509"/>
    </row>
    <row r="48" spans="1:8" ht="21" customHeight="1" x14ac:dyDescent="0.25">
      <c r="C48" s="509"/>
      <c r="D48" s="509"/>
      <c r="E48" s="509"/>
      <c r="F48" s="509"/>
      <c r="G48" s="509"/>
      <c r="H48" s="509"/>
    </row>
  </sheetData>
  <sheetProtection algorithmName="SHA-512" hashValue="QKBvq6ENwHzpFYLr5durIvaYA9Cmqvj7A1X2vlsrLYsFFr9nqjb8y0k1snXTTSt2gkjHvZzPHGJFZwfw4mDFrg==" saltValue="jfJ5WJ4E4NgCsjJ8KS4BjA==" spinCount="100000" sheet="1" selectLockedCells="1"/>
  <mergeCells count="10">
    <mergeCell ref="A1:H1"/>
    <mergeCell ref="B32:G32"/>
    <mergeCell ref="C46:H46"/>
    <mergeCell ref="C47:H47"/>
    <mergeCell ref="C48:H48"/>
    <mergeCell ref="B8:F8"/>
    <mergeCell ref="E10:F10"/>
    <mergeCell ref="E11:F11"/>
    <mergeCell ref="E21:F21"/>
    <mergeCell ref="E22:F22"/>
  </mergeCells>
  <dataValidations count="3">
    <dataValidation type="whole" errorStyle="warning" allowBlank="1" showInputMessage="1" showErrorMessage="1" errorTitle="Waste Allowance" error="Based upon our experience waste factors less than 5% may result in a shortage of product delivered to site.  " sqref="F4" xr:uid="{00000000-0002-0000-0900-000000000000}">
      <formula1>0</formula1>
      <formula2>100</formula2>
    </dataValidation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4" xr:uid="{00000000-0002-0000-0900-000001000000}">
      <formula1>0</formula1>
      <formula2>100</formula2>
    </dataValidation>
    <dataValidation type="list" allowBlank="1" showInputMessage="1" showErrorMessage="1" sqref="E7" xr:uid="{00000000-0002-0000-0900-000002000000}">
      <formula1>$C$12:$C$13</formula1>
    </dataValidation>
  </dataValidations>
  <hyperlinks>
    <hyperlink ref="H43" r:id="rId1" xr:uid="{00000000-0004-0000-0900-000000000000}"/>
    <hyperlink ref="H40" r:id="rId2" xr:uid="{00000000-0004-0000-0900-000001000000}"/>
    <hyperlink ref="H42" r:id="rId3" xr:uid="{00000000-0004-0000-09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9">
    <tabColor theme="9"/>
    <pageSetUpPr autoPageBreaks="0"/>
  </sheetPr>
  <dimension ref="A1:H43"/>
  <sheetViews>
    <sheetView showGridLines="0" showRowColHeaders="0"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494" t="s">
        <v>159</v>
      </c>
      <c r="B1" s="494"/>
      <c r="C1" s="494"/>
      <c r="D1" s="494"/>
      <c r="E1" s="494"/>
      <c r="F1" s="494"/>
      <c r="G1" s="494"/>
      <c r="H1" s="494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2"/>
      <c r="C3" s="43"/>
      <c r="D3" s="133" t="s">
        <v>87</v>
      </c>
      <c r="E3" s="136">
        <v>200</v>
      </c>
      <c r="F3" s="158"/>
      <c r="G3" s="2"/>
      <c r="H3" s="3"/>
    </row>
    <row r="4" spans="1:8" ht="18" customHeight="1" x14ac:dyDescent="0.3">
      <c r="A4" s="22"/>
      <c r="B4" s="42"/>
      <c r="C4" s="43"/>
      <c r="D4" s="134" t="s">
        <v>13</v>
      </c>
      <c r="E4" s="137">
        <v>0</v>
      </c>
      <c r="F4" s="159"/>
      <c r="G4" s="160"/>
      <c r="H4" s="160"/>
    </row>
    <row r="5" spans="1:8" ht="18" customHeight="1" x14ac:dyDescent="0.3">
      <c r="A5" s="22"/>
      <c r="B5" s="42"/>
      <c r="C5" s="43"/>
      <c r="D5" s="134" t="s">
        <v>86</v>
      </c>
      <c r="E5" s="347">
        <f>E3+E3*E4/100</f>
        <v>200</v>
      </c>
      <c r="F5" s="16"/>
      <c r="G5" s="160"/>
      <c r="H5" s="160"/>
    </row>
    <row r="6" spans="1:8" ht="18" customHeight="1" x14ac:dyDescent="0.3">
      <c r="A6" s="22"/>
      <c r="B6" s="30"/>
      <c r="C6" s="31"/>
      <c r="D6" s="135" t="s">
        <v>77</v>
      </c>
      <c r="E6" s="197">
        <v>50</v>
      </c>
      <c r="F6" s="158"/>
      <c r="G6" s="2"/>
      <c r="H6" s="3"/>
    </row>
    <row r="7" spans="1:8" ht="12.75" customHeight="1" x14ac:dyDescent="0.25">
      <c r="A7" s="22"/>
      <c r="B7" s="25"/>
      <c r="C7" s="25"/>
      <c r="D7" s="25"/>
      <c r="E7" s="22"/>
      <c r="F7" s="22"/>
      <c r="G7" s="160"/>
      <c r="H7" s="160"/>
    </row>
    <row r="8" spans="1:8" ht="18" customHeight="1" thickBot="1" x14ac:dyDescent="0.35">
      <c r="A8" s="22"/>
      <c r="B8" s="273" t="s">
        <v>100</v>
      </c>
      <c r="C8" s="274"/>
      <c r="D8" s="161"/>
      <c r="E8" s="495" t="s">
        <v>99</v>
      </c>
      <c r="F8" s="496"/>
      <c r="G8" s="174" t="s">
        <v>110</v>
      </c>
      <c r="H8" s="3"/>
    </row>
    <row r="9" spans="1:8" ht="12.75" customHeight="1" thickTop="1" x14ac:dyDescent="0.3">
      <c r="A9" s="22"/>
      <c r="B9" s="275" t="s">
        <v>101</v>
      </c>
      <c r="C9" s="276">
        <f>E5</f>
        <v>200</v>
      </c>
      <c r="D9" s="161"/>
      <c r="E9" s="497" t="s">
        <v>169</v>
      </c>
      <c r="F9" s="498"/>
      <c r="G9" s="175">
        <f>E6</f>
        <v>50</v>
      </c>
      <c r="H9" s="3"/>
    </row>
    <row r="10" spans="1:8" ht="12.75" customHeight="1" x14ac:dyDescent="0.25">
      <c r="A10" s="22"/>
      <c r="B10" s="279" t="s">
        <v>112</v>
      </c>
      <c r="C10" s="296">
        <v>100</v>
      </c>
      <c r="D10" s="161"/>
      <c r="E10" s="499" t="s">
        <v>109</v>
      </c>
      <c r="F10" s="500"/>
      <c r="G10" s="503">
        <v>5</v>
      </c>
      <c r="H10" s="162"/>
    </row>
    <row r="11" spans="1:8" ht="12.75" customHeight="1" thickBot="1" x14ac:dyDescent="0.3">
      <c r="A11" s="22"/>
      <c r="B11" s="279" t="s">
        <v>111</v>
      </c>
      <c r="C11" s="297">
        <v>5</v>
      </c>
      <c r="D11" s="161"/>
      <c r="E11" s="501"/>
      <c r="F11" s="502"/>
      <c r="G11" s="504"/>
      <c r="H11" s="162"/>
    </row>
    <row r="12" spans="1:8" ht="18" customHeight="1" thickTop="1" thickBot="1" x14ac:dyDescent="0.3">
      <c r="A12" s="22"/>
      <c r="B12" s="283" t="s">
        <v>69</v>
      </c>
      <c r="C12" s="284">
        <f>IF(MOD(C9,C10)&lt;=65,ROUNDDOWN(+E5/C10,0),ROUNDUP(+E5/C10,0))</f>
        <v>2</v>
      </c>
      <c r="D12" s="161"/>
      <c r="E12" s="505" t="s">
        <v>108</v>
      </c>
      <c r="F12" s="506"/>
      <c r="G12" s="284">
        <f>ROUNDUP(E6/G10,0)</f>
        <v>10</v>
      </c>
      <c r="H12" s="162"/>
    </row>
    <row r="13" spans="1:8" ht="18" customHeight="1" thickTop="1" x14ac:dyDescent="0.25">
      <c r="A13" s="22"/>
      <c r="B13" s="285" t="s">
        <v>113</v>
      </c>
      <c r="C13" s="284">
        <f>IF(ROUNDUP((C9-(C10*C12)),0)&lt;0,0,ROUNDUP((C9-(C10*C12))/C11,0))</f>
        <v>0</v>
      </c>
      <c r="D13" s="161"/>
      <c r="E13" s="507" t="s">
        <v>76</v>
      </c>
      <c r="F13" s="507"/>
      <c r="G13" s="286">
        <v>48</v>
      </c>
    </row>
    <row r="14" spans="1:8" ht="12.75" customHeight="1" x14ac:dyDescent="0.25">
      <c r="A14" s="22"/>
      <c r="B14" s="287" t="s">
        <v>71</v>
      </c>
      <c r="C14" s="78">
        <v>1510</v>
      </c>
      <c r="D14" s="161"/>
    </row>
    <row r="15" spans="1:8" ht="12.75" customHeight="1" x14ac:dyDescent="0.25">
      <c r="A15" s="22"/>
      <c r="B15" s="217" t="s">
        <v>114</v>
      </c>
      <c r="C15" s="157">
        <v>75</v>
      </c>
      <c r="D15" s="161"/>
      <c r="E15" s="161"/>
      <c r="F15" s="161"/>
      <c r="G15" s="161"/>
    </row>
    <row r="16" spans="1:8" ht="12.75" customHeight="1" x14ac:dyDescent="0.25">
      <c r="A16" s="22"/>
      <c r="B16" s="217"/>
      <c r="C16" s="157"/>
      <c r="D16" s="161"/>
      <c r="E16" s="161"/>
      <c r="F16" s="161"/>
      <c r="G16" s="161"/>
    </row>
    <row r="17" spans="1:8" ht="18" customHeight="1" x14ac:dyDescent="0.25">
      <c r="A17" s="176"/>
      <c r="B17" s="176"/>
      <c r="C17" s="177" t="s">
        <v>115</v>
      </c>
      <c r="D17" s="178">
        <f>(C12*C10)+(C13*C11)</f>
        <v>200</v>
      </c>
      <c r="E17" s="179" t="s">
        <v>182</v>
      </c>
      <c r="F17" s="176"/>
      <c r="G17" s="176"/>
      <c r="H17" s="176"/>
    </row>
    <row r="18" spans="1:8" s="11" customFormat="1" ht="18" customHeight="1" x14ac:dyDescent="0.25">
      <c r="A18" s="176"/>
      <c r="B18" s="176"/>
      <c r="C18" s="177" t="s">
        <v>102</v>
      </c>
      <c r="D18" s="178">
        <f>(C12*C14)+(C13*C15)</f>
        <v>3020</v>
      </c>
      <c r="E18" s="179" t="s">
        <v>3</v>
      </c>
      <c r="F18" s="176"/>
      <c r="G18" s="176"/>
      <c r="H18" s="176"/>
    </row>
    <row r="19" spans="1:8" s="11" customFormat="1" ht="18" customHeight="1" x14ac:dyDescent="0.3">
      <c r="A19" s="288"/>
      <c r="B19" s="288"/>
      <c r="C19" s="289" t="s">
        <v>98</v>
      </c>
      <c r="D19" s="290">
        <f>G10*G12</f>
        <v>50</v>
      </c>
      <c r="E19" s="291" t="s">
        <v>183</v>
      </c>
      <c r="F19" s="292"/>
      <c r="G19" s="288"/>
      <c r="H19" s="293"/>
    </row>
    <row r="20" spans="1:8" s="11" customFormat="1" ht="18" customHeight="1" x14ac:dyDescent="0.3">
      <c r="A20" s="288"/>
      <c r="B20" s="288"/>
      <c r="C20" s="289" t="s">
        <v>103</v>
      </c>
      <c r="D20" s="290">
        <f>G12*G13</f>
        <v>480</v>
      </c>
      <c r="E20" s="291" t="s">
        <v>3</v>
      </c>
      <c r="F20" s="292"/>
      <c r="G20" s="288"/>
      <c r="H20" s="293"/>
    </row>
    <row r="21" spans="1:8" s="11" customFormat="1" ht="18" customHeight="1" x14ac:dyDescent="0.25">
      <c r="A21" s="39"/>
      <c r="B21" s="39"/>
      <c r="C21" s="69" t="s">
        <v>95</v>
      </c>
      <c r="D21" s="70">
        <f>ROUND(+D17/25,0)</f>
        <v>8</v>
      </c>
      <c r="E21" s="294" t="s">
        <v>170</v>
      </c>
      <c r="F21" s="40"/>
      <c r="G21" s="39"/>
      <c r="H21" s="35"/>
    </row>
    <row r="22" spans="1:8" s="11" customFormat="1" x14ac:dyDescent="0.25">
      <c r="A22" s="39"/>
      <c r="B22" s="510" t="s">
        <v>8</v>
      </c>
      <c r="C22" s="510"/>
      <c r="D22" s="510"/>
      <c r="E22" s="510"/>
      <c r="F22" s="510"/>
      <c r="G22" s="510"/>
      <c r="H22" s="35"/>
    </row>
    <row r="23" spans="1:8" s="11" customFormat="1" ht="18" customHeight="1" x14ac:dyDescent="0.25">
      <c r="A23" s="176"/>
      <c r="B23" s="176"/>
      <c r="C23" s="177" t="s">
        <v>97</v>
      </c>
      <c r="D23" s="178">
        <f>SUM(D18+D20)</f>
        <v>3500</v>
      </c>
      <c r="E23" s="179" t="s">
        <v>3</v>
      </c>
      <c r="F23" s="176"/>
      <c r="G23" s="176"/>
      <c r="H23" s="180"/>
    </row>
    <row r="24" spans="1:8" s="11" customFormat="1" ht="12.75" customHeight="1" x14ac:dyDescent="0.25">
      <c r="A24" s="23"/>
      <c r="B24" s="23"/>
      <c r="C24" s="23"/>
      <c r="D24" s="23"/>
      <c r="E24" s="23"/>
      <c r="F24" s="23"/>
      <c r="G24" s="23"/>
      <c r="H24" s="23"/>
    </row>
    <row r="25" spans="1:8" s="11" customFormat="1" ht="12.75" customHeight="1" x14ac:dyDescent="0.25">
      <c r="A25" s="23"/>
      <c r="B25" s="23"/>
      <c r="C25" s="23"/>
      <c r="D25" s="23"/>
      <c r="E25" s="23"/>
      <c r="F25" s="23"/>
      <c r="G25" s="23"/>
      <c r="H25" s="23"/>
    </row>
    <row r="26" spans="1:8" s="11" customFormat="1" ht="12.75" customHeight="1" x14ac:dyDescent="0.25">
      <c r="A26" s="23"/>
      <c r="B26" s="23"/>
      <c r="C26" s="23"/>
      <c r="D26" s="23"/>
      <c r="E26" s="23"/>
      <c r="F26" s="23"/>
      <c r="G26" s="23"/>
      <c r="H26" s="23"/>
    </row>
    <row r="27" spans="1:8" s="11" customFormat="1" ht="17.399999999999999" x14ac:dyDescent="0.25">
      <c r="A27" s="23"/>
      <c r="B27" s="23"/>
      <c r="C27" s="23"/>
      <c r="D27" s="23"/>
      <c r="E27" s="23"/>
      <c r="F27" s="23"/>
      <c r="G27" s="23"/>
      <c r="H27" s="223" t="s">
        <v>9</v>
      </c>
    </row>
    <row r="28" spans="1:8" s="11" customFormat="1" ht="12.75" customHeight="1" x14ac:dyDescent="0.25">
      <c r="A28" s="13"/>
      <c r="B28" s="13"/>
      <c r="C28" s="13"/>
      <c r="D28" s="13"/>
      <c r="E28" s="13"/>
      <c r="F28" s="13"/>
      <c r="G28" s="13"/>
      <c r="H28" s="13"/>
    </row>
    <row r="29" spans="1:8" s="11" customFormat="1" ht="12.75" customHeight="1" x14ac:dyDescent="0.25">
      <c r="A29" s="13"/>
      <c r="B29" s="13"/>
      <c r="C29" s="13"/>
      <c r="D29" s="13"/>
      <c r="F29" s="13"/>
      <c r="G29" s="13"/>
      <c r="H29" s="224" t="s">
        <v>56</v>
      </c>
    </row>
    <row r="30" spans="1:8" ht="12.75" customHeight="1" x14ac:dyDescent="0.25">
      <c r="A30" s="13"/>
      <c r="B30" s="13"/>
      <c r="C30" s="13"/>
      <c r="D30" s="13"/>
      <c r="E30" s="13"/>
      <c r="F30" s="13"/>
      <c r="G30" s="13"/>
      <c r="H30" s="199" t="s">
        <v>55</v>
      </c>
    </row>
    <row r="31" spans="1:8" ht="12.75" customHeight="1" x14ac:dyDescent="0.25">
      <c r="A31" s="13"/>
      <c r="B31" s="13"/>
      <c r="C31" s="13"/>
      <c r="D31" s="13"/>
      <c r="E31" s="13"/>
      <c r="F31" s="13"/>
      <c r="G31" s="13"/>
      <c r="H31" s="246"/>
    </row>
    <row r="32" spans="1:8" ht="12.75" customHeight="1" x14ac:dyDescent="0.25">
      <c r="A32" s="13"/>
      <c r="B32" s="13"/>
      <c r="C32" s="13"/>
      <c r="D32" s="13"/>
      <c r="E32" s="13"/>
      <c r="F32" s="13"/>
      <c r="G32" s="13"/>
      <c r="H32" s="199" t="s">
        <v>57</v>
      </c>
    </row>
    <row r="33" spans="1:8" ht="12.75" customHeight="1" x14ac:dyDescent="0.25">
      <c r="A33" s="13"/>
      <c r="B33" s="13"/>
      <c r="C33" s="13"/>
      <c r="D33" s="13"/>
      <c r="E33" s="13"/>
      <c r="F33" s="13"/>
      <c r="G33" s="11"/>
      <c r="H33" s="199" t="s">
        <v>10</v>
      </c>
    </row>
    <row r="34" spans="1:8" ht="12.75" customHeight="1" x14ac:dyDescent="0.25">
      <c r="A34" s="13"/>
      <c r="B34" s="13"/>
      <c r="C34" s="13"/>
      <c r="D34" s="13"/>
      <c r="E34" s="13"/>
      <c r="F34" s="13"/>
      <c r="G34" s="11"/>
      <c r="H34" s="225" t="s">
        <v>7</v>
      </c>
    </row>
    <row r="35" spans="1:8" ht="12.75" customHeight="1" x14ac:dyDescent="0.25">
      <c r="A35" s="13"/>
      <c r="B35" s="13"/>
      <c r="C35" s="13"/>
      <c r="D35" s="13"/>
      <c r="E35" s="13"/>
      <c r="F35" s="13"/>
      <c r="G35" s="11"/>
      <c r="H35" s="225"/>
    </row>
    <row r="36" spans="1:8" ht="12.75" customHeight="1" x14ac:dyDescent="0.25">
      <c r="A36" s="13"/>
      <c r="B36" s="13"/>
      <c r="C36" s="13"/>
      <c r="D36" s="13"/>
      <c r="E36" s="13"/>
      <c r="F36" s="13"/>
      <c r="G36" s="11"/>
      <c r="H36" s="225"/>
    </row>
    <row r="37" spans="1:8" ht="12.75" customHeight="1" x14ac:dyDescent="0.25">
      <c r="A37" s="13"/>
      <c r="B37" s="13"/>
      <c r="C37" s="13"/>
      <c r="D37" s="13"/>
      <c r="E37" s="13"/>
      <c r="F37" s="13"/>
      <c r="G37" s="11"/>
      <c r="H37" s="225"/>
    </row>
    <row r="38" spans="1:8" ht="12.75" customHeight="1" x14ac:dyDescent="0.25">
      <c r="A38" s="13"/>
      <c r="B38" s="13"/>
      <c r="C38" s="13"/>
      <c r="D38" s="13"/>
      <c r="E38" s="13"/>
      <c r="F38" s="13"/>
      <c r="G38" s="11"/>
      <c r="H38" s="225"/>
    </row>
    <row r="39" spans="1:8" ht="12.75" customHeight="1" x14ac:dyDescent="0.25">
      <c r="A39" s="13"/>
      <c r="B39" s="13"/>
      <c r="C39" s="13"/>
      <c r="D39" s="13"/>
      <c r="E39" s="13"/>
      <c r="F39" s="13"/>
      <c r="G39" s="11"/>
      <c r="H39" s="225"/>
    </row>
    <row r="40" spans="1:8" ht="12.75" customHeight="1" x14ac:dyDescent="0.25">
      <c r="A40" s="13"/>
      <c r="B40" s="13"/>
      <c r="C40" s="13"/>
      <c r="D40" s="13"/>
      <c r="E40" s="13"/>
      <c r="F40" s="13"/>
      <c r="G40" s="11"/>
      <c r="H40" s="225"/>
    </row>
    <row r="41" spans="1:8" ht="21" customHeight="1" x14ac:dyDescent="0.3">
      <c r="B41" s="15" t="s">
        <v>16</v>
      </c>
      <c r="C41" s="508"/>
      <c r="D41" s="508"/>
      <c r="E41" s="508"/>
      <c r="F41" s="508"/>
      <c r="G41" s="508"/>
      <c r="H41" s="508"/>
    </row>
    <row r="42" spans="1:8" ht="21" customHeight="1" x14ac:dyDescent="0.25">
      <c r="B42" s="13"/>
      <c r="C42" s="509"/>
      <c r="D42" s="509"/>
      <c r="E42" s="509"/>
      <c r="F42" s="509"/>
      <c r="G42" s="509"/>
      <c r="H42" s="509"/>
    </row>
    <row r="43" spans="1:8" ht="21" customHeight="1" x14ac:dyDescent="0.25">
      <c r="C43" s="509"/>
      <c r="D43" s="509"/>
      <c r="E43" s="509"/>
      <c r="F43" s="509"/>
      <c r="G43" s="509"/>
      <c r="H43" s="509"/>
    </row>
  </sheetData>
  <sheetProtection algorithmName="SHA-512" hashValue="abtObYTAJ2a4GgQeFcxb+VoEmYw+mOPBAzja9KHx/qL1MviNvAPdqNDCJsK7bx8NCuYo3uLIwXxcIKtXFHp8pw==" saltValue="48jkcU3gUjDemypoD/aXew==" spinCount="100000" sheet="1" selectLockedCells="1"/>
  <mergeCells count="11">
    <mergeCell ref="A1:H1"/>
    <mergeCell ref="B22:G22"/>
    <mergeCell ref="C41:H41"/>
    <mergeCell ref="C42:H42"/>
    <mergeCell ref="C43:H43"/>
    <mergeCell ref="E8:F8"/>
    <mergeCell ref="E9:F9"/>
    <mergeCell ref="E10:F11"/>
    <mergeCell ref="G10:G11"/>
    <mergeCell ref="E12:F12"/>
    <mergeCell ref="E13:F13"/>
  </mergeCells>
  <dataValidations disablePrompts="1" count="2"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4" xr:uid="{00000000-0002-0000-0A00-000000000000}">
      <formula1>0</formula1>
      <formula2>100</formula2>
    </dataValidation>
    <dataValidation type="whole" errorStyle="warning" allowBlank="1" showInputMessage="1" showErrorMessage="1" errorTitle="Waste Allowance" error="Based upon our experience waste factors less than 5% may result in a shortage of product delivered to site.  " sqref="F4" xr:uid="{00000000-0002-0000-0A00-000001000000}">
      <formula1>0</formula1>
      <formula2>100</formula2>
    </dataValidation>
  </dataValidations>
  <hyperlinks>
    <hyperlink ref="H33" r:id="rId1" xr:uid="{00000000-0004-0000-0A00-000000000000}"/>
    <hyperlink ref="H30" r:id="rId2" xr:uid="{00000000-0004-0000-0A00-000001000000}"/>
    <hyperlink ref="H32" r:id="rId3" xr:uid="{00000000-0004-0000-0A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>
    <tabColor theme="9"/>
    <pageSetUpPr autoPageBreaks="0"/>
  </sheetPr>
  <dimension ref="A1:H48"/>
  <sheetViews>
    <sheetView showGridLines="0" showRowColHeaders="0"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494" t="s">
        <v>160</v>
      </c>
      <c r="B1" s="494"/>
      <c r="C1" s="494"/>
      <c r="D1" s="494"/>
      <c r="E1" s="494"/>
      <c r="F1" s="494"/>
      <c r="G1" s="494"/>
      <c r="H1" s="494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2"/>
      <c r="C3" s="43"/>
      <c r="D3" s="133" t="s">
        <v>87</v>
      </c>
      <c r="E3" s="136">
        <v>200</v>
      </c>
      <c r="F3" s="158"/>
      <c r="G3" s="2"/>
      <c r="H3" s="3"/>
    </row>
    <row r="4" spans="1:8" ht="18" customHeight="1" x14ac:dyDescent="0.3">
      <c r="A4" s="22"/>
      <c r="B4" s="42"/>
      <c r="C4" s="43"/>
      <c r="D4" s="134" t="s">
        <v>13</v>
      </c>
      <c r="E4" s="137">
        <v>0</v>
      </c>
      <c r="F4" s="159"/>
      <c r="G4" s="160"/>
      <c r="H4" s="160"/>
    </row>
    <row r="5" spans="1:8" ht="18" customHeight="1" x14ac:dyDescent="0.3">
      <c r="A5" s="22"/>
      <c r="B5" s="42"/>
      <c r="C5" s="43"/>
      <c r="D5" s="134" t="s">
        <v>86</v>
      </c>
      <c r="E5" s="347">
        <f>E3+E3*E4/100</f>
        <v>200</v>
      </c>
      <c r="F5" s="16"/>
      <c r="G5" s="160"/>
      <c r="H5" s="160"/>
    </row>
    <row r="6" spans="1:8" ht="18" customHeight="1" x14ac:dyDescent="0.3">
      <c r="A6" s="22"/>
      <c r="B6" s="30"/>
      <c r="C6" s="31"/>
      <c r="D6" s="135" t="s">
        <v>77</v>
      </c>
      <c r="E6" s="197">
        <v>50</v>
      </c>
      <c r="F6" s="158"/>
      <c r="G6" s="2"/>
      <c r="H6" s="3"/>
    </row>
    <row r="7" spans="1:8" ht="18" customHeight="1" x14ac:dyDescent="0.3">
      <c r="A7" s="22"/>
      <c r="B7" s="42"/>
      <c r="C7" s="43"/>
      <c r="D7" s="134" t="s">
        <v>173</v>
      </c>
      <c r="E7" s="198">
        <v>0.375</v>
      </c>
      <c r="F7" s="158"/>
      <c r="G7" s="2"/>
      <c r="H7" s="3"/>
    </row>
    <row r="8" spans="1:8" ht="12.75" customHeight="1" x14ac:dyDescent="0.25">
      <c r="A8" s="22"/>
      <c r="B8" s="511" t="s">
        <v>174</v>
      </c>
      <c r="C8" s="511"/>
      <c r="D8" s="511"/>
      <c r="E8" s="511"/>
      <c r="F8" s="511"/>
      <c r="G8" s="160"/>
      <c r="H8" s="160"/>
    </row>
    <row r="9" spans="1:8" ht="12.75" customHeight="1" x14ac:dyDescent="0.25">
      <c r="A9" s="22"/>
      <c r="B9" s="25"/>
      <c r="C9" s="25"/>
      <c r="D9" s="25"/>
      <c r="E9" s="22"/>
      <c r="F9" s="22"/>
      <c r="G9" s="160"/>
      <c r="H9" s="160"/>
    </row>
    <row r="10" spans="1:8" ht="18" customHeight="1" thickBot="1" x14ac:dyDescent="0.35">
      <c r="A10" s="22"/>
      <c r="B10" s="273" t="s">
        <v>100</v>
      </c>
      <c r="C10" s="274"/>
      <c r="D10" s="161"/>
      <c r="E10" s="495" t="s">
        <v>99</v>
      </c>
      <c r="F10" s="496"/>
      <c r="G10" s="174" t="s">
        <v>110</v>
      </c>
      <c r="H10" s="3"/>
    </row>
    <row r="11" spans="1:8" ht="18" customHeight="1" thickTop="1" x14ac:dyDescent="0.3">
      <c r="A11" s="22"/>
      <c r="B11" s="275" t="s">
        <v>101</v>
      </c>
      <c r="C11" s="276">
        <f>E5</f>
        <v>200</v>
      </c>
      <c r="D11" s="161"/>
      <c r="E11" s="497" t="s">
        <v>169</v>
      </c>
      <c r="F11" s="498"/>
      <c r="G11" s="175">
        <f>E6</f>
        <v>50</v>
      </c>
      <c r="H11" s="3"/>
    </row>
    <row r="12" spans="1:8" ht="18" hidden="1" customHeight="1" x14ac:dyDescent="0.3">
      <c r="A12" s="22"/>
      <c r="B12" s="277" t="s">
        <v>175</v>
      </c>
      <c r="C12" s="278">
        <v>0.375</v>
      </c>
      <c r="D12" s="161"/>
      <c r="E12" s="195"/>
      <c r="F12" s="196" t="s">
        <v>176</v>
      </c>
      <c r="G12" s="183">
        <f>60/3.625</f>
        <v>16.551724137931036</v>
      </c>
      <c r="H12" s="3"/>
    </row>
    <row r="13" spans="1:8" ht="18" hidden="1" customHeight="1" x14ac:dyDescent="0.3">
      <c r="A13" s="22"/>
      <c r="B13" s="277" t="s">
        <v>177</v>
      </c>
      <c r="C13" s="278">
        <v>0.5</v>
      </c>
      <c r="D13" s="161"/>
      <c r="E13" s="195"/>
      <c r="F13" s="196"/>
      <c r="G13" s="183"/>
      <c r="H13" s="3"/>
    </row>
    <row r="14" spans="1:8" ht="18" hidden="1" customHeight="1" x14ac:dyDescent="0.3">
      <c r="A14" s="22"/>
      <c r="B14" s="279" t="s">
        <v>178</v>
      </c>
      <c r="C14" s="280">
        <f>(23.625*2.125)/144</f>
        <v>0.3486328125</v>
      </c>
      <c r="D14" s="161"/>
      <c r="E14" s="195"/>
      <c r="F14" s="196"/>
      <c r="G14" s="184"/>
      <c r="H14" s="3"/>
    </row>
    <row r="15" spans="1:8" ht="18" hidden="1" customHeight="1" x14ac:dyDescent="0.3">
      <c r="A15" s="22"/>
      <c r="B15" s="279" t="s">
        <v>68</v>
      </c>
      <c r="C15" s="280">
        <f>100/C14</f>
        <v>286.83473389355743</v>
      </c>
      <c r="D15" s="161"/>
      <c r="E15" s="195"/>
      <c r="F15" s="196"/>
      <c r="G15" s="184"/>
      <c r="H15" s="3"/>
    </row>
    <row r="16" spans="1:8" ht="18" hidden="1" customHeight="1" x14ac:dyDescent="0.3">
      <c r="A16" s="22"/>
      <c r="B16" s="279" t="s">
        <v>176</v>
      </c>
      <c r="C16" s="280">
        <f>5/C14</f>
        <v>14.341736694677872</v>
      </c>
      <c r="D16" s="161"/>
      <c r="E16" s="195"/>
      <c r="F16" s="196"/>
      <c r="G16" s="184"/>
      <c r="H16" s="3"/>
    </row>
    <row r="17" spans="1:8" ht="18" hidden="1" customHeight="1" x14ac:dyDescent="0.3">
      <c r="A17" s="22"/>
      <c r="B17" s="279" t="s">
        <v>179</v>
      </c>
      <c r="C17" s="280">
        <f>(24*2.5)/144</f>
        <v>0.41666666666666669</v>
      </c>
      <c r="D17" s="161"/>
      <c r="E17" s="195"/>
      <c r="F17" s="196"/>
      <c r="G17" s="184"/>
      <c r="H17" s="3"/>
    </row>
    <row r="18" spans="1:8" ht="18" hidden="1" customHeight="1" x14ac:dyDescent="0.3">
      <c r="A18" s="22"/>
      <c r="B18" s="279" t="s">
        <v>180</v>
      </c>
      <c r="C18" s="280">
        <f>(24.125*2.625)/144</f>
        <v>0.43977864583333331</v>
      </c>
      <c r="D18" s="161"/>
      <c r="E18" s="195"/>
      <c r="F18" s="196"/>
      <c r="G18" s="184"/>
      <c r="H18" s="3"/>
    </row>
    <row r="19" spans="1:8" ht="18" customHeight="1" x14ac:dyDescent="0.25">
      <c r="A19" s="22"/>
      <c r="B19" s="279" t="s">
        <v>112</v>
      </c>
      <c r="C19" s="281">
        <f>IF(E7=0.375,(C15*C17),(C15*C18))</f>
        <v>119.51447245564893</v>
      </c>
      <c r="D19" s="161"/>
      <c r="E19" s="185"/>
      <c r="F19" s="186" t="s">
        <v>109</v>
      </c>
      <c r="G19" s="187">
        <f>IF(E7=0.375,(G12*4/12),(G12*4.125/12))</f>
        <v>5.5172413793103452</v>
      </c>
      <c r="H19" s="162"/>
    </row>
    <row r="20" spans="1:8" ht="18" customHeight="1" thickBot="1" x14ac:dyDescent="0.3">
      <c r="A20" s="22"/>
      <c r="B20" s="279" t="s">
        <v>111</v>
      </c>
      <c r="C20" s="282">
        <f>IF(E7=0.375,(C16*C17),(C16*C18))</f>
        <v>5.9757236227824464</v>
      </c>
      <c r="D20" s="161"/>
      <c r="E20" s="188"/>
      <c r="F20" s="189"/>
      <c r="G20" s="190"/>
      <c r="H20" s="162"/>
    </row>
    <row r="21" spans="1:8" ht="18" customHeight="1" thickTop="1" thickBot="1" x14ac:dyDescent="0.3">
      <c r="A21" s="22"/>
      <c r="B21" s="283" t="s">
        <v>69</v>
      </c>
      <c r="C21" s="284">
        <f>IF(MOD(C11,C19)&lt;=(C19*0.65),ROUNDDOWN(+E5/C19,0),ROUNDUP(+E5/C19,0))</f>
        <v>2</v>
      </c>
      <c r="D21" s="161"/>
      <c r="E21" s="505" t="s">
        <v>108</v>
      </c>
      <c r="F21" s="506"/>
      <c r="G21" s="284">
        <f>ROUNDUP(E6/G19,0)</f>
        <v>10</v>
      </c>
      <c r="H21" s="162"/>
    </row>
    <row r="22" spans="1:8" ht="18" customHeight="1" thickTop="1" x14ac:dyDescent="0.25">
      <c r="A22" s="22"/>
      <c r="B22" s="285" t="s">
        <v>113</v>
      </c>
      <c r="C22" s="284">
        <f>IF(ROUNDUP((C11-(C19*C21)),0)&lt;0,0,ROUNDUP((C11-(C19*C21))/C20,0))</f>
        <v>0</v>
      </c>
      <c r="D22" s="161"/>
      <c r="E22" s="507" t="s">
        <v>76</v>
      </c>
      <c r="F22" s="507"/>
      <c r="G22" s="286">
        <v>48</v>
      </c>
    </row>
    <row r="23" spans="1:8" ht="12.75" customHeight="1" x14ac:dyDescent="0.25">
      <c r="A23" s="22"/>
      <c r="B23" s="287" t="s">
        <v>71</v>
      </c>
      <c r="C23" s="78">
        <v>1510</v>
      </c>
      <c r="D23" s="161"/>
    </row>
    <row r="24" spans="1:8" ht="12.75" customHeight="1" x14ac:dyDescent="0.25">
      <c r="A24" s="22"/>
      <c r="B24" s="217" t="s">
        <v>114</v>
      </c>
      <c r="C24" s="157">
        <v>75</v>
      </c>
      <c r="D24" s="161"/>
      <c r="E24" s="161"/>
      <c r="F24" s="161"/>
      <c r="G24" s="161"/>
    </row>
    <row r="25" spans="1:8" ht="12.75" customHeight="1" x14ac:dyDescent="0.25">
      <c r="A25" s="22"/>
      <c r="B25" s="217"/>
      <c r="C25" s="157"/>
      <c r="D25" s="161"/>
      <c r="E25" s="161"/>
      <c r="F25" s="161"/>
      <c r="G25" s="161"/>
    </row>
    <row r="26" spans="1:8" ht="18" customHeight="1" x14ac:dyDescent="0.25">
      <c r="A26" s="176"/>
      <c r="B26" s="176"/>
      <c r="C26" s="177" t="s">
        <v>115</v>
      </c>
      <c r="D26" s="178">
        <f>(C21*C19)+(C22*C20)</f>
        <v>239.02894491129786</v>
      </c>
      <c r="E26" s="179" t="s">
        <v>182</v>
      </c>
      <c r="F26" s="176"/>
      <c r="G26" s="176"/>
      <c r="H26" s="176"/>
    </row>
    <row r="27" spans="1:8" s="11" customFormat="1" ht="18" customHeight="1" x14ac:dyDescent="0.25">
      <c r="A27" s="176"/>
      <c r="B27" s="176"/>
      <c r="C27" s="177" t="s">
        <v>102</v>
      </c>
      <c r="D27" s="178">
        <f>(C21*C23)+(C22*C24)</f>
        <v>3020</v>
      </c>
      <c r="E27" s="179" t="s">
        <v>3</v>
      </c>
      <c r="F27" s="176"/>
      <c r="G27" s="176"/>
      <c r="H27" s="176"/>
    </row>
    <row r="28" spans="1:8" s="11" customFormat="1" ht="18" customHeight="1" x14ac:dyDescent="0.3">
      <c r="A28" s="288"/>
      <c r="B28" s="288"/>
      <c r="C28" s="289" t="s">
        <v>98</v>
      </c>
      <c r="D28" s="290">
        <f>G19*G21</f>
        <v>55.172413793103452</v>
      </c>
      <c r="E28" s="291" t="s">
        <v>183</v>
      </c>
      <c r="F28" s="292"/>
      <c r="G28" s="288"/>
      <c r="H28" s="293"/>
    </row>
    <row r="29" spans="1:8" s="11" customFormat="1" ht="18" customHeight="1" x14ac:dyDescent="0.3">
      <c r="A29" s="288"/>
      <c r="B29" s="288"/>
      <c r="C29" s="289" t="s">
        <v>103</v>
      </c>
      <c r="D29" s="290">
        <f>G21*G22</f>
        <v>480</v>
      </c>
      <c r="E29" s="291" t="s">
        <v>3</v>
      </c>
      <c r="F29" s="292"/>
      <c r="G29" s="288"/>
      <c r="H29" s="293"/>
    </row>
    <row r="30" spans="1:8" s="11" customFormat="1" ht="18" customHeight="1" x14ac:dyDescent="0.25">
      <c r="A30" s="39"/>
      <c r="B30" s="39"/>
      <c r="C30" s="69" t="s">
        <v>95</v>
      </c>
      <c r="D30" s="70">
        <f>ROUND(+D26/25,0)</f>
        <v>10</v>
      </c>
      <c r="E30" s="294" t="s">
        <v>170</v>
      </c>
      <c r="F30" s="40"/>
      <c r="G30" s="39"/>
      <c r="H30" s="35"/>
    </row>
    <row r="31" spans="1:8" s="11" customFormat="1" ht="18" customHeight="1" x14ac:dyDescent="0.25">
      <c r="A31" s="39"/>
      <c r="B31" s="295"/>
      <c r="C31" s="69" t="s">
        <v>95</v>
      </c>
      <c r="D31" s="70">
        <f>IF(E7=0.375,ROUND(+D26/60,0),ROUND(+D26/45,0))</f>
        <v>4</v>
      </c>
      <c r="E31" s="294" t="s">
        <v>181</v>
      </c>
      <c r="F31" s="40"/>
      <c r="G31" s="39"/>
      <c r="H31" s="35"/>
    </row>
    <row r="32" spans="1:8" s="11" customFormat="1" x14ac:dyDescent="0.25">
      <c r="A32" s="39"/>
      <c r="B32" s="510" t="s">
        <v>8</v>
      </c>
      <c r="C32" s="510"/>
      <c r="D32" s="510"/>
      <c r="E32" s="510"/>
      <c r="F32" s="510"/>
      <c r="G32" s="510"/>
      <c r="H32" s="35"/>
    </row>
    <row r="33" spans="1:8" s="11" customFormat="1" ht="18" customHeight="1" x14ac:dyDescent="0.25">
      <c r="A33" s="176"/>
      <c r="B33" s="176"/>
      <c r="C33" s="177" t="s">
        <v>97</v>
      </c>
      <c r="D33" s="178">
        <f>SUM(D27+D29)</f>
        <v>3500</v>
      </c>
      <c r="E33" s="179" t="s">
        <v>3</v>
      </c>
      <c r="F33" s="176"/>
      <c r="G33" s="176"/>
      <c r="H33" s="180"/>
    </row>
    <row r="34" spans="1:8" s="11" customFormat="1" ht="12.75" customHeight="1" x14ac:dyDescent="0.25">
      <c r="A34" s="23"/>
      <c r="B34" s="23"/>
      <c r="C34" s="23"/>
      <c r="D34" s="23"/>
      <c r="E34" s="23"/>
      <c r="F34" s="23"/>
      <c r="G34" s="23"/>
      <c r="H34" s="23"/>
    </row>
    <row r="35" spans="1:8" s="11" customFormat="1" ht="12.75" customHeight="1" x14ac:dyDescent="0.25">
      <c r="A35" s="23"/>
      <c r="B35" s="23"/>
      <c r="C35" s="23"/>
      <c r="D35" s="23"/>
      <c r="E35" s="23"/>
      <c r="F35" s="23"/>
      <c r="G35" s="23"/>
      <c r="H35" s="23"/>
    </row>
    <row r="36" spans="1:8" s="11" customFormat="1" ht="12.75" customHeight="1" x14ac:dyDescent="0.25">
      <c r="A36" s="23"/>
      <c r="B36" s="23"/>
      <c r="C36" s="23"/>
      <c r="D36" s="23"/>
      <c r="E36" s="23"/>
      <c r="F36" s="23"/>
      <c r="G36" s="23"/>
      <c r="H36" s="23"/>
    </row>
    <row r="37" spans="1:8" s="11" customFormat="1" ht="17.399999999999999" x14ac:dyDescent="0.25">
      <c r="A37" s="23"/>
      <c r="B37" s="23"/>
      <c r="C37" s="23"/>
      <c r="D37" s="23"/>
      <c r="E37" s="23"/>
      <c r="F37" s="23"/>
      <c r="G37" s="23"/>
      <c r="H37" s="223" t="s">
        <v>9</v>
      </c>
    </row>
    <row r="38" spans="1:8" s="11" customFormat="1" ht="12.75" customHeight="1" x14ac:dyDescent="0.25">
      <c r="A38" s="13"/>
      <c r="B38" s="13"/>
      <c r="C38" s="13"/>
      <c r="D38" s="13"/>
      <c r="E38" s="13"/>
      <c r="F38" s="13"/>
      <c r="G38" s="13"/>
      <c r="H38" s="13"/>
    </row>
    <row r="39" spans="1:8" s="11" customFormat="1" ht="12.75" customHeight="1" x14ac:dyDescent="0.25">
      <c r="A39" s="13"/>
      <c r="B39" s="13"/>
      <c r="C39" s="13"/>
      <c r="D39" s="13"/>
      <c r="F39" s="13"/>
      <c r="G39" s="13"/>
      <c r="H39" s="224" t="s">
        <v>56</v>
      </c>
    </row>
    <row r="40" spans="1:8" ht="12.75" customHeight="1" x14ac:dyDescent="0.25">
      <c r="A40" s="13"/>
      <c r="B40" s="13"/>
      <c r="C40" s="13"/>
      <c r="D40" s="13"/>
      <c r="E40" s="13"/>
      <c r="F40" s="13"/>
      <c r="G40" s="13"/>
      <c r="H40" s="199" t="s">
        <v>55</v>
      </c>
    </row>
    <row r="41" spans="1:8" ht="12.75" customHeight="1" x14ac:dyDescent="0.25">
      <c r="A41" s="13"/>
      <c r="B41" s="13"/>
      <c r="C41" s="13"/>
      <c r="D41" s="13"/>
      <c r="E41" s="13"/>
      <c r="F41" s="13"/>
      <c r="G41" s="13"/>
      <c r="H41" s="246"/>
    </row>
    <row r="42" spans="1:8" ht="12.75" customHeight="1" x14ac:dyDescent="0.25">
      <c r="A42" s="13"/>
      <c r="B42" s="13"/>
      <c r="C42" s="13"/>
      <c r="D42" s="13"/>
      <c r="E42" s="13"/>
      <c r="F42" s="13"/>
      <c r="G42" s="13"/>
      <c r="H42" s="199" t="s">
        <v>57</v>
      </c>
    </row>
    <row r="43" spans="1:8" ht="12.75" customHeight="1" x14ac:dyDescent="0.25">
      <c r="A43" s="13"/>
      <c r="B43" s="13"/>
      <c r="C43" s="13"/>
      <c r="D43" s="13"/>
      <c r="E43" s="13"/>
      <c r="F43" s="13"/>
      <c r="G43" s="11"/>
      <c r="H43" s="199" t="s">
        <v>10</v>
      </c>
    </row>
    <row r="44" spans="1:8" ht="12.75" customHeight="1" x14ac:dyDescent="0.25">
      <c r="A44" s="13"/>
      <c r="B44" s="13"/>
      <c r="C44" s="13"/>
      <c r="D44" s="13"/>
      <c r="E44" s="13"/>
      <c r="F44" s="13"/>
      <c r="G44" s="11"/>
      <c r="H44" s="225" t="s">
        <v>7</v>
      </c>
    </row>
    <row r="45" spans="1:8" ht="12.75" customHeight="1" x14ac:dyDescent="0.25">
      <c r="A45" s="13"/>
      <c r="B45" s="13"/>
      <c r="C45" s="13"/>
      <c r="D45" s="13"/>
      <c r="E45" s="13"/>
      <c r="F45" s="13"/>
      <c r="G45" s="11"/>
      <c r="H45" s="225"/>
    </row>
    <row r="46" spans="1:8" ht="21" customHeight="1" x14ac:dyDescent="0.3">
      <c r="B46" s="15" t="s">
        <v>16</v>
      </c>
      <c r="C46" s="508"/>
      <c r="D46" s="508"/>
      <c r="E46" s="508"/>
      <c r="F46" s="508"/>
      <c r="G46" s="508"/>
      <c r="H46" s="508"/>
    </row>
    <row r="47" spans="1:8" ht="21" customHeight="1" x14ac:dyDescent="0.25">
      <c r="B47" s="13"/>
      <c r="C47" s="509"/>
      <c r="D47" s="509"/>
      <c r="E47" s="509"/>
      <c r="F47" s="509"/>
      <c r="G47" s="509"/>
      <c r="H47" s="509"/>
    </row>
    <row r="48" spans="1:8" ht="21" customHeight="1" x14ac:dyDescent="0.25">
      <c r="C48" s="509"/>
      <c r="D48" s="509"/>
      <c r="E48" s="509"/>
      <c r="F48" s="509"/>
      <c r="G48" s="509"/>
      <c r="H48" s="509"/>
    </row>
  </sheetData>
  <sheetProtection algorithmName="SHA-512" hashValue="uK9ZiDwjAO2g4MEIGhCZX7gZtj+F955pBY4CTL9rzZH+QpwtYPDomwJnhqnZd8G1pt33oXRoTDx4wWWm2tr4AA==" saltValue="UNZp05ti7M5VciRpkt9zyg==" spinCount="100000" sheet="1" selectLockedCells="1"/>
  <mergeCells count="10">
    <mergeCell ref="A1:H1"/>
    <mergeCell ref="B32:G32"/>
    <mergeCell ref="C46:H46"/>
    <mergeCell ref="C47:H47"/>
    <mergeCell ref="C48:H48"/>
    <mergeCell ref="B8:F8"/>
    <mergeCell ref="E10:F10"/>
    <mergeCell ref="E11:F11"/>
    <mergeCell ref="E21:F21"/>
    <mergeCell ref="E22:F22"/>
  </mergeCells>
  <dataValidations count="3">
    <dataValidation type="whole" errorStyle="warning" allowBlank="1" showInputMessage="1" showErrorMessage="1" errorTitle="Waste Allowance" error="Based upon our experience waste factors less than 5% may result in a shortage of product delivered to site.  " sqref="F4" xr:uid="{00000000-0002-0000-0B00-000000000000}">
      <formula1>0</formula1>
      <formula2>100</formula2>
    </dataValidation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4" xr:uid="{00000000-0002-0000-0B00-000001000000}">
      <formula1>0</formula1>
      <formula2>100</formula2>
    </dataValidation>
    <dataValidation type="list" allowBlank="1" showInputMessage="1" showErrorMessage="1" sqref="E7" xr:uid="{00000000-0002-0000-0B00-000002000000}">
      <formula1>$C$12:$C$13</formula1>
    </dataValidation>
  </dataValidations>
  <hyperlinks>
    <hyperlink ref="H43" r:id="rId1" xr:uid="{00000000-0004-0000-0B00-000000000000}"/>
    <hyperlink ref="H40" r:id="rId2" xr:uid="{00000000-0004-0000-0B00-000001000000}"/>
    <hyperlink ref="H42" r:id="rId3" xr:uid="{00000000-0004-0000-0B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rgb="FFC00000"/>
  </sheetPr>
  <dimension ref="A1:TV55"/>
  <sheetViews>
    <sheetView showGridLines="0" showRowColHeaders="0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12" t="s">
        <v>192</v>
      </c>
      <c r="B1" s="512"/>
      <c r="C1" s="512"/>
      <c r="D1" s="512"/>
      <c r="E1" s="512"/>
      <c r="F1" s="512"/>
      <c r="G1" s="512"/>
      <c r="H1" s="512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35"/>
      <c r="C3" s="36"/>
      <c r="D3" s="94" t="s">
        <v>87</v>
      </c>
      <c r="E3" s="96">
        <v>200</v>
      </c>
      <c r="F3" s="2"/>
      <c r="G3" s="2"/>
      <c r="H3" s="3"/>
    </row>
    <row r="4" spans="1:8" ht="18" customHeight="1" x14ac:dyDescent="0.3">
      <c r="A4" s="22"/>
      <c r="B4" s="35"/>
      <c r="C4" s="36"/>
      <c r="D4" s="95" t="s">
        <v>13</v>
      </c>
      <c r="E4" s="97">
        <v>0</v>
      </c>
      <c r="F4" s="2"/>
      <c r="G4" s="2"/>
      <c r="H4" s="3"/>
    </row>
    <row r="5" spans="1:8" ht="18" customHeight="1" x14ac:dyDescent="0.3">
      <c r="A5" s="22"/>
      <c r="B5" s="35"/>
      <c r="C5" s="36"/>
      <c r="D5" s="95" t="s">
        <v>86</v>
      </c>
      <c r="E5" s="344">
        <f>E3+E3*E4/100</f>
        <v>200</v>
      </c>
      <c r="F5" s="2"/>
      <c r="G5" s="2"/>
      <c r="H5" s="3"/>
    </row>
    <row r="6" spans="1:8" ht="12.75" customHeight="1" x14ac:dyDescent="0.25">
      <c r="A6" s="22"/>
      <c r="B6" s="12"/>
      <c r="C6" s="22"/>
      <c r="D6" s="22"/>
      <c r="E6" s="22"/>
      <c r="F6" s="22"/>
      <c r="G6" s="22"/>
    </row>
    <row r="7" spans="1:8" ht="18" customHeight="1" thickBot="1" x14ac:dyDescent="0.35">
      <c r="A7" s="22"/>
      <c r="B7" s="269" t="s">
        <v>0</v>
      </c>
      <c r="C7" s="453" t="s">
        <v>307</v>
      </c>
      <c r="D7" s="102" t="s">
        <v>20</v>
      </c>
      <c r="E7" s="102" t="s">
        <v>21</v>
      </c>
      <c r="F7" s="253"/>
      <c r="G7" s="4"/>
      <c r="H7" s="1"/>
    </row>
    <row r="8" spans="1:8" ht="18" customHeight="1" thickTop="1" x14ac:dyDescent="0.3">
      <c r="A8" s="22"/>
      <c r="B8" s="103" t="s">
        <v>11</v>
      </c>
      <c r="C8" s="88">
        <v>0.2</v>
      </c>
      <c r="D8" s="89">
        <v>0.4</v>
      </c>
      <c r="E8" s="89">
        <v>0.4</v>
      </c>
      <c r="F8" s="74">
        <f>SUM(B8,C8,D8,E8)</f>
        <v>1</v>
      </c>
      <c r="G8" s="4"/>
      <c r="H8" s="1"/>
    </row>
    <row r="9" spans="1:8" ht="18.75" hidden="1" customHeight="1" x14ac:dyDescent="0.25">
      <c r="A9" s="22"/>
      <c r="B9" s="51" t="s">
        <v>67</v>
      </c>
      <c r="C9" s="104">
        <v>0.48</v>
      </c>
      <c r="D9" s="105">
        <v>0.72</v>
      </c>
      <c r="E9" s="105">
        <v>0.96</v>
      </c>
      <c r="F9" s="161"/>
      <c r="G9" s="22"/>
    </row>
    <row r="10" spans="1:8" ht="12.75" customHeight="1" x14ac:dyDescent="0.25">
      <c r="A10" s="22"/>
      <c r="B10" s="50" t="s">
        <v>1</v>
      </c>
      <c r="C10" s="106">
        <f>+($E$5*C8)/C9</f>
        <v>83.333333333333343</v>
      </c>
      <c r="D10" s="107">
        <f>+($E$5*D8)/D9</f>
        <v>111.11111111111111</v>
      </c>
      <c r="E10" s="107">
        <f>+($E$5*E8)/E9</f>
        <v>83.333333333333343</v>
      </c>
      <c r="F10" s="255"/>
      <c r="G10" s="490" t="s">
        <v>90</v>
      </c>
      <c r="H10" s="490"/>
    </row>
    <row r="11" spans="1:8" ht="12.75" customHeight="1" x14ac:dyDescent="0.25">
      <c r="A11" s="22"/>
      <c r="B11" s="145" t="s">
        <v>68</v>
      </c>
      <c r="C11" s="104">
        <v>180</v>
      </c>
      <c r="D11" s="105">
        <v>84</v>
      </c>
      <c r="E11" s="105">
        <v>70</v>
      </c>
      <c r="F11" s="161"/>
      <c r="G11" s="490"/>
      <c r="H11" s="490"/>
    </row>
    <row r="12" spans="1:8" ht="12.75" customHeight="1" thickBot="1" x14ac:dyDescent="0.3">
      <c r="A12" s="22"/>
      <c r="B12" s="115" t="s">
        <v>84</v>
      </c>
      <c r="C12" s="138">
        <v>12</v>
      </c>
      <c r="D12" s="138">
        <v>10.5</v>
      </c>
      <c r="E12" s="105">
        <v>10</v>
      </c>
      <c r="F12" s="161"/>
      <c r="G12" s="490"/>
      <c r="H12" s="490"/>
    </row>
    <row r="13" spans="1:8" ht="18.75" hidden="1" customHeight="1" x14ac:dyDescent="0.25">
      <c r="A13" s="22"/>
      <c r="B13" s="116" t="s">
        <v>64</v>
      </c>
      <c r="C13" s="138">
        <v>12</v>
      </c>
      <c r="D13" s="138">
        <v>11</v>
      </c>
      <c r="E13" s="105">
        <v>10</v>
      </c>
      <c r="F13" s="161"/>
      <c r="G13" s="490"/>
      <c r="H13" s="490"/>
    </row>
    <row r="14" spans="1:8" ht="18.75" hidden="1" customHeight="1" thickBot="1" x14ac:dyDescent="0.3">
      <c r="A14" s="22"/>
      <c r="B14" s="116" t="s">
        <v>65</v>
      </c>
      <c r="C14" s="138">
        <v>12</v>
      </c>
      <c r="D14" s="138">
        <v>10</v>
      </c>
      <c r="E14" s="105">
        <v>10</v>
      </c>
      <c r="F14" s="161"/>
      <c r="G14" s="490"/>
      <c r="H14" s="490"/>
    </row>
    <row r="15" spans="1:8" ht="18" customHeight="1" thickBot="1" x14ac:dyDescent="0.35">
      <c r="A15" s="22"/>
      <c r="B15" s="52" t="s">
        <v>69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1</v>
      </c>
      <c r="F15" s="256"/>
      <c r="G15" s="490"/>
      <c r="H15" s="490"/>
    </row>
    <row r="16" spans="1:8" ht="18" customHeight="1" thickBot="1" x14ac:dyDescent="0.35">
      <c r="A16" s="22"/>
      <c r="B16" s="139" t="s">
        <v>85</v>
      </c>
      <c r="C16" s="119">
        <f>IF(ROUNDUP((C10-(C11*C15))/C12,0)&lt;0,0,ROUNDUP((C10-(C11*C15))/C12,0))</f>
        <v>7</v>
      </c>
      <c r="D16" s="119">
        <f>IF(ROUNDUP((D10-(D11*D15))/D12,0)&lt;0,0,ROUNDUP((D10-(D11*D15))/D12,0))</f>
        <v>3</v>
      </c>
      <c r="E16" s="131">
        <f>IF(ROUNDUP((E10-(E11*E15))/E12,0)&lt;0,0,ROUNDUP((E10-(E11*E15))/E12,0))</f>
        <v>2</v>
      </c>
      <c r="F16" s="256"/>
      <c r="G16" s="22"/>
    </row>
    <row r="17" spans="1:542" ht="18" customHeight="1" x14ac:dyDescent="0.3">
      <c r="A17" s="22"/>
      <c r="B17" s="140" t="s">
        <v>66</v>
      </c>
      <c r="C17" s="123">
        <f>(C15*C11)+(ROUNDUP(C16/2,0)*C13)+(ROUNDDOWN(C16/2,0)*C14)</f>
        <v>84</v>
      </c>
      <c r="D17" s="123">
        <f>(D15*D11)+(ROUNDUP(D16/2,0)*D13)+(ROUNDDOWN(D16/2,0)*D14)</f>
        <v>116</v>
      </c>
      <c r="E17" s="132">
        <f>(E15*E11)+(ROUNDUP(E16/2,0)*E13)+(ROUNDDOWN(E16/2,0)*E14)</f>
        <v>90</v>
      </c>
      <c r="F17" s="256"/>
      <c r="G17" s="22"/>
    </row>
    <row r="18" spans="1:542" ht="12.75" customHeight="1" x14ac:dyDescent="0.25">
      <c r="A18" s="22"/>
      <c r="B18" s="144" t="s">
        <v>71</v>
      </c>
      <c r="C18" s="25">
        <f>C11*C19</f>
        <v>2737.8</v>
      </c>
      <c r="D18" s="25">
        <f>D11*D19</f>
        <v>2426.34</v>
      </c>
      <c r="E18" s="25">
        <v>2871</v>
      </c>
      <c r="F18" s="25"/>
      <c r="G18" s="22"/>
    </row>
    <row r="19" spans="1:542" ht="12.75" customHeight="1" x14ac:dyDescent="0.25">
      <c r="A19" s="22"/>
      <c r="B19" s="266" t="s">
        <v>70</v>
      </c>
      <c r="C19" s="161">
        <v>15.21</v>
      </c>
      <c r="D19" s="32">
        <v>28.885000000000002</v>
      </c>
      <c r="E19" s="161">
        <v>41.01</v>
      </c>
      <c r="F19" s="257"/>
      <c r="G19" s="22"/>
    </row>
    <row r="20" spans="1:542" ht="12.75" hidden="1" customHeight="1" x14ac:dyDescent="0.25">
      <c r="A20" s="22"/>
      <c r="B20" s="24" t="s">
        <v>72</v>
      </c>
      <c r="C20" s="25">
        <f>+C17*C9</f>
        <v>40.32</v>
      </c>
      <c r="D20" s="25">
        <f>+D17*D9</f>
        <v>83.52</v>
      </c>
      <c r="E20" s="25">
        <f>+E17*E9</f>
        <v>86.399999999999991</v>
      </c>
      <c r="F20" s="161"/>
      <c r="G20" s="22"/>
    </row>
    <row r="21" spans="1:542" ht="12.75" customHeight="1" x14ac:dyDescent="0.25">
      <c r="A21" s="22"/>
      <c r="B21" s="24"/>
      <c r="C21" s="25"/>
      <c r="D21" s="25"/>
      <c r="E21" s="25"/>
      <c r="F21" s="161"/>
      <c r="G21" s="22"/>
    </row>
    <row r="22" spans="1:542" ht="12.75" customHeight="1" x14ac:dyDescent="0.25">
      <c r="A22" s="22"/>
      <c r="B22" s="86" t="s">
        <v>89</v>
      </c>
      <c r="C22" s="25"/>
      <c r="D22" s="25"/>
      <c r="E22" s="25"/>
      <c r="F22" s="161"/>
      <c r="G22" s="22"/>
    </row>
    <row r="23" spans="1:542" ht="12.75" customHeight="1" x14ac:dyDescent="0.25">
      <c r="A23" s="22"/>
      <c r="B23" s="87" t="s">
        <v>50</v>
      </c>
      <c r="C23" s="22"/>
      <c r="D23" s="22"/>
      <c r="E23" s="22"/>
      <c r="F23" s="22"/>
      <c r="G23" s="22"/>
    </row>
    <row r="24" spans="1:542" ht="18" customHeight="1" x14ac:dyDescent="0.25">
      <c r="A24" s="44"/>
      <c r="B24" s="44"/>
      <c r="C24" s="243" t="s">
        <v>93</v>
      </c>
      <c r="D24" s="234">
        <f>SUM(C20:E20)</f>
        <v>210.24</v>
      </c>
      <c r="E24" s="244" t="s">
        <v>94</v>
      </c>
      <c r="F24" s="44"/>
      <c r="G24" s="44"/>
      <c r="H24" s="46"/>
      <c r="K24" s="22"/>
    </row>
    <row r="25" spans="1:542" ht="18" customHeight="1" x14ac:dyDescent="0.25">
      <c r="A25" s="39"/>
      <c r="B25" s="39"/>
      <c r="C25" s="69" t="s">
        <v>95</v>
      </c>
      <c r="D25" s="70">
        <f>ROUND(+D24/30,0)</f>
        <v>7</v>
      </c>
      <c r="E25" s="245" t="s">
        <v>4</v>
      </c>
      <c r="F25" s="39"/>
      <c r="G25" s="39"/>
      <c r="H25" s="35"/>
    </row>
    <row r="26" spans="1:542" ht="12.75" customHeight="1" x14ac:dyDescent="0.25">
      <c r="A26" s="39"/>
      <c r="B26" s="487" t="s">
        <v>8</v>
      </c>
      <c r="C26" s="487"/>
      <c r="D26" s="487"/>
      <c r="E26" s="487"/>
      <c r="F26" s="487"/>
      <c r="G26" s="487"/>
      <c r="H26" s="35"/>
    </row>
    <row r="27" spans="1:542" ht="18" customHeight="1" x14ac:dyDescent="0.25">
      <c r="A27" s="44"/>
      <c r="B27" s="44"/>
      <c r="C27" s="243" t="s">
        <v>96</v>
      </c>
      <c r="D27" s="234">
        <f>SUM(C17*C19+D17*D19+E17*E19)</f>
        <v>8319.2000000000007</v>
      </c>
      <c r="E27" s="244" t="s">
        <v>3</v>
      </c>
      <c r="F27" s="44"/>
      <c r="G27" s="44"/>
      <c r="H27" s="46"/>
    </row>
    <row r="28" spans="1:542" s="17" customFormat="1" ht="12.7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  <c r="KS28" s="23"/>
      <c r="KT28" s="23"/>
      <c r="KU28" s="23"/>
      <c r="KV28" s="23"/>
      <c r="KW28" s="23"/>
      <c r="KX28" s="23"/>
      <c r="KY28" s="23"/>
      <c r="KZ28" s="23"/>
      <c r="LA28" s="23"/>
      <c r="LB28" s="23"/>
      <c r="LC28" s="23"/>
      <c r="LD28" s="23"/>
      <c r="LE28" s="23"/>
      <c r="LF28" s="23"/>
      <c r="LG28" s="23"/>
      <c r="LH28" s="23"/>
      <c r="LI28" s="23"/>
      <c r="LJ28" s="23"/>
      <c r="LK28" s="23"/>
      <c r="LL28" s="23"/>
      <c r="LM28" s="23"/>
      <c r="LN28" s="23"/>
      <c r="LO28" s="23"/>
      <c r="LP28" s="23"/>
      <c r="LQ28" s="23"/>
      <c r="LR28" s="23"/>
      <c r="LS28" s="23"/>
      <c r="LT28" s="23"/>
      <c r="LU28" s="23"/>
      <c r="LV28" s="23"/>
      <c r="LW28" s="23"/>
      <c r="LX28" s="23"/>
      <c r="LY28" s="23"/>
      <c r="LZ28" s="23"/>
      <c r="MA28" s="23"/>
      <c r="MB28" s="23"/>
      <c r="MC28" s="23"/>
      <c r="MD28" s="23"/>
      <c r="ME28" s="23"/>
      <c r="MF28" s="23"/>
      <c r="MG28" s="23"/>
      <c r="MH28" s="23"/>
      <c r="MI28" s="23"/>
      <c r="MJ28" s="23"/>
      <c r="MK28" s="23"/>
      <c r="ML28" s="23"/>
      <c r="MM28" s="23"/>
      <c r="MN28" s="23"/>
      <c r="MO28" s="23"/>
      <c r="MP28" s="23"/>
      <c r="MQ28" s="23"/>
      <c r="MR28" s="23"/>
      <c r="MS28" s="23"/>
      <c r="MT28" s="23"/>
      <c r="MU28" s="23"/>
      <c r="MV28" s="23"/>
      <c r="MW28" s="23"/>
      <c r="MX28" s="23"/>
      <c r="MY28" s="23"/>
      <c r="MZ28" s="23"/>
      <c r="NA28" s="23"/>
      <c r="NB28" s="23"/>
      <c r="NC28" s="23"/>
      <c r="ND28" s="23"/>
      <c r="NE28" s="23"/>
      <c r="NF28" s="23"/>
      <c r="NG28" s="23"/>
      <c r="NH28" s="23"/>
      <c r="NI28" s="23"/>
      <c r="NJ28" s="23"/>
      <c r="NK28" s="23"/>
      <c r="NL28" s="23"/>
      <c r="NM28" s="23"/>
      <c r="NN28" s="23"/>
      <c r="NO28" s="23"/>
      <c r="NP28" s="23"/>
      <c r="NQ28" s="23"/>
      <c r="NR28" s="23"/>
      <c r="NS28" s="23"/>
      <c r="NT28" s="23"/>
      <c r="NU28" s="23"/>
      <c r="NV28" s="23"/>
      <c r="NW28" s="23"/>
      <c r="NX28" s="23"/>
      <c r="NY28" s="23"/>
      <c r="NZ28" s="23"/>
      <c r="OA28" s="23"/>
      <c r="OB28" s="23"/>
      <c r="OC28" s="23"/>
      <c r="OD28" s="23"/>
      <c r="OE28" s="23"/>
      <c r="OF28" s="23"/>
      <c r="OG28" s="23"/>
      <c r="OH28" s="23"/>
      <c r="OI28" s="23"/>
      <c r="OJ28" s="23"/>
      <c r="OK28" s="23"/>
      <c r="OL28" s="23"/>
      <c r="OM28" s="23"/>
      <c r="ON28" s="23"/>
      <c r="OO28" s="23"/>
      <c r="OP28" s="23"/>
      <c r="OQ28" s="23"/>
      <c r="OR28" s="23"/>
      <c r="OS28" s="23"/>
      <c r="OT28" s="23"/>
      <c r="OU28" s="23"/>
      <c r="OV28" s="23"/>
      <c r="OW28" s="23"/>
      <c r="OX28" s="23"/>
      <c r="OY28" s="23"/>
      <c r="OZ28" s="23"/>
      <c r="PA28" s="23"/>
      <c r="PB28" s="23"/>
      <c r="PC28" s="23"/>
      <c r="PD28" s="23"/>
      <c r="PE28" s="23"/>
      <c r="PF28" s="23"/>
      <c r="PG28" s="23"/>
      <c r="PH28" s="23"/>
      <c r="PI28" s="23"/>
      <c r="PJ28" s="23"/>
      <c r="PK28" s="23"/>
      <c r="PL28" s="23"/>
      <c r="PM28" s="23"/>
      <c r="PN28" s="23"/>
      <c r="PO28" s="23"/>
      <c r="PP28" s="23"/>
      <c r="PQ28" s="23"/>
      <c r="PR28" s="23"/>
      <c r="PS28" s="23"/>
      <c r="PT28" s="23"/>
      <c r="PU28" s="23"/>
      <c r="PV28" s="23"/>
      <c r="PW28" s="23"/>
      <c r="PX28" s="23"/>
      <c r="PY28" s="23"/>
      <c r="PZ28" s="23"/>
      <c r="QA28" s="23"/>
      <c r="QB28" s="23"/>
      <c r="QC28" s="23"/>
      <c r="QD28" s="23"/>
      <c r="QE28" s="23"/>
      <c r="QF28" s="23"/>
      <c r="QG28" s="23"/>
      <c r="QH28" s="23"/>
      <c r="QI28" s="23"/>
      <c r="QJ28" s="23"/>
      <c r="QK28" s="23"/>
      <c r="QL28" s="23"/>
      <c r="QM28" s="23"/>
      <c r="QN28" s="23"/>
      <c r="QO28" s="23"/>
      <c r="QP28" s="23"/>
      <c r="QQ28" s="23"/>
      <c r="QR28" s="23"/>
      <c r="QS28" s="23"/>
      <c r="QT28" s="23"/>
      <c r="QU28" s="23"/>
      <c r="QV28" s="23"/>
      <c r="QW28" s="23"/>
      <c r="QX28" s="23"/>
      <c r="QY28" s="23"/>
      <c r="QZ28" s="23"/>
      <c r="RA28" s="23"/>
      <c r="RB28" s="23"/>
      <c r="RC28" s="23"/>
      <c r="RD28" s="23"/>
      <c r="RE28" s="23"/>
      <c r="RF28" s="23"/>
      <c r="RG28" s="23"/>
      <c r="RH28" s="23"/>
      <c r="RI28" s="23"/>
      <c r="RJ28" s="23"/>
      <c r="RK28" s="23"/>
      <c r="RL28" s="23"/>
      <c r="RM28" s="23"/>
      <c r="RN28" s="23"/>
      <c r="RO28" s="23"/>
      <c r="RP28" s="23"/>
      <c r="RQ28" s="23"/>
      <c r="RR28" s="23"/>
      <c r="RS28" s="23"/>
      <c r="RT28" s="23"/>
      <c r="RU28" s="23"/>
      <c r="RV28" s="23"/>
      <c r="RW28" s="23"/>
      <c r="RX28" s="23"/>
      <c r="RY28" s="23"/>
      <c r="RZ28" s="23"/>
      <c r="SA28" s="23"/>
      <c r="SB28" s="23"/>
      <c r="SC28" s="23"/>
      <c r="SD28" s="23"/>
      <c r="SE28" s="23"/>
      <c r="SF28" s="23"/>
      <c r="SG28" s="23"/>
      <c r="SH28" s="23"/>
      <c r="SI28" s="23"/>
      <c r="SJ28" s="23"/>
      <c r="SK28" s="23"/>
      <c r="SL28" s="23"/>
      <c r="SM28" s="23"/>
      <c r="SN28" s="23"/>
      <c r="SO28" s="23"/>
      <c r="SP28" s="23"/>
      <c r="SQ28" s="23"/>
      <c r="SR28" s="23"/>
      <c r="SS28" s="23"/>
      <c r="ST28" s="23"/>
      <c r="SU28" s="23"/>
      <c r="SV28" s="23"/>
      <c r="SW28" s="23"/>
      <c r="SX28" s="23"/>
      <c r="SY28" s="23"/>
      <c r="SZ28" s="23"/>
      <c r="TA28" s="23"/>
      <c r="TB28" s="23"/>
      <c r="TC28" s="23"/>
      <c r="TD28" s="23"/>
      <c r="TE28" s="23"/>
      <c r="TF28" s="23"/>
      <c r="TG28" s="23"/>
      <c r="TH28" s="23"/>
      <c r="TI28" s="23"/>
      <c r="TJ28" s="23"/>
      <c r="TK28" s="23"/>
      <c r="TL28" s="23"/>
      <c r="TM28" s="23"/>
      <c r="TN28" s="23"/>
      <c r="TO28" s="23"/>
      <c r="TP28" s="23"/>
      <c r="TQ28" s="23"/>
      <c r="TR28" s="23"/>
      <c r="TS28" s="23"/>
      <c r="TT28" s="23"/>
      <c r="TU28" s="23"/>
      <c r="TV28" s="23"/>
    </row>
    <row r="29" spans="1:542" s="17" customFormat="1" ht="12.75" customHeigh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  <c r="NC29" s="23"/>
      <c r="ND29" s="23"/>
      <c r="NE29" s="23"/>
      <c r="NF29" s="23"/>
      <c r="NG29" s="23"/>
      <c r="NH29" s="23"/>
      <c r="NI29" s="23"/>
      <c r="NJ29" s="23"/>
      <c r="NK29" s="23"/>
      <c r="NL29" s="23"/>
      <c r="NM29" s="23"/>
      <c r="NN29" s="23"/>
      <c r="NO29" s="23"/>
      <c r="NP29" s="23"/>
      <c r="NQ29" s="23"/>
      <c r="NR29" s="23"/>
      <c r="NS29" s="23"/>
      <c r="NT29" s="23"/>
      <c r="NU29" s="23"/>
      <c r="NV29" s="23"/>
      <c r="NW29" s="23"/>
      <c r="NX29" s="23"/>
      <c r="NY29" s="23"/>
      <c r="NZ29" s="23"/>
      <c r="OA29" s="23"/>
      <c r="OB29" s="23"/>
      <c r="OC29" s="23"/>
      <c r="OD29" s="23"/>
      <c r="OE29" s="23"/>
      <c r="OF29" s="23"/>
      <c r="OG29" s="23"/>
      <c r="OH29" s="23"/>
      <c r="OI29" s="23"/>
      <c r="OJ29" s="23"/>
      <c r="OK29" s="23"/>
      <c r="OL29" s="23"/>
      <c r="OM29" s="23"/>
      <c r="ON29" s="23"/>
      <c r="OO29" s="23"/>
      <c r="OP29" s="23"/>
      <c r="OQ29" s="23"/>
      <c r="OR29" s="23"/>
      <c r="OS29" s="23"/>
      <c r="OT29" s="23"/>
      <c r="OU29" s="23"/>
      <c r="OV29" s="23"/>
      <c r="OW29" s="23"/>
      <c r="OX29" s="23"/>
      <c r="OY29" s="23"/>
      <c r="OZ29" s="23"/>
      <c r="PA29" s="23"/>
      <c r="PB29" s="23"/>
      <c r="PC29" s="23"/>
      <c r="PD29" s="23"/>
      <c r="PE29" s="23"/>
      <c r="PF29" s="23"/>
      <c r="PG29" s="23"/>
      <c r="PH29" s="23"/>
      <c r="PI29" s="23"/>
      <c r="PJ29" s="23"/>
      <c r="PK29" s="23"/>
      <c r="PL29" s="23"/>
      <c r="PM29" s="23"/>
      <c r="PN29" s="23"/>
      <c r="PO29" s="23"/>
      <c r="PP29" s="23"/>
      <c r="PQ29" s="23"/>
      <c r="PR29" s="23"/>
      <c r="PS29" s="23"/>
      <c r="PT29" s="23"/>
      <c r="PU29" s="23"/>
      <c r="PV29" s="23"/>
      <c r="PW29" s="23"/>
      <c r="PX29" s="23"/>
      <c r="PY29" s="23"/>
      <c r="PZ29" s="23"/>
      <c r="QA29" s="23"/>
      <c r="QB29" s="23"/>
      <c r="QC29" s="23"/>
      <c r="QD29" s="23"/>
      <c r="QE29" s="23"/>
      <c r="QF29" s="23"/>
      <c r="QG29" s="23"/>
      <c r="QH29" s="23"/>
      <c r="QI29" s="23"/>
      <c r="QJ29" s="23"/>
      <c r="QK29" s="23"/>
      <c r="QL29" s="23"/>
      <c r="QM29" s="23"/>
      <c r="QN29" s="23"/>
      <c r="QO29" s="23"/>
      <c r="QP29" s="23"/>
      <c r="QQ29" s="23"/>
      <c r="QR29" s="23"/>
      <c r="QS29" s="23"/>
      <c r="QT29" s="23"/>
      <c r="QU29" s="23"/>
      <c r="QV29" s="23"/>
      <c r="QW29" s="23"/>
      <c r="QX29" s="23"/>
      <c r="QY29" s="23"/>
      <c r="QZ29" s="23"/>
      <c r="RA29" s="23"/>
      <c r="RB29" s="23"/>
      <c r="RC29" s="23"/>
      <c r="RD29" s="23"/>
      <c r="RE29" s="23"/>
      <c r="RF29" s="23"/>
      <c r="RG29" s="23"/>
      <c r="RH29" s="23"/>
      <c r="RI29" s="23"/>
      <c r="RJ29" s="23"/>
      <c r="RK29" s="23"/>
      <c r="RL29" s="23"/>
      <c r="RM29" s="23"/>
      <c r="RN29" s="23"/>
      <c r="RO29" s="23"/>
      <c r="RP29" s="23"/>
      <c r="RQ29" s="23"/>
      <c r="RR29" s="23"/>
      <c r="RS29" s="23"/>
      <c r="RT29" s="23"/>
      <c r="RU29" s="23"/>
      <c r="RV29" s="23"/>
      <c r="RW29" s="23"/>
      <c r="RX29" s="23"/>
      <c r="RY29" s="23"/>
      <c r="RZ29" s="23"/>
      <c r="SA29" s="23"/>
      <c r="SB29" s="23"/>
      <c r="SC29" s="23"/>
      <c r="SD29" s="23"/>
      <c r="SE29" s="23"/>
      <c r="SF29" s="23"/>
      <c r="SG29" s="23"/>
      <c r="SH29" s="23"/>
      <c r="SI29" s="23"/>
      <c r="SJ29" s="23"/>
      <c r="SK29" s="23"/>
      <c r="SL29" s="23"/>
      <c r="SM29" s="23"/>
      <c r="SN29" s="23"/>
      <c r="SO29" s="23"/>
      <c r="SP29" s="23"/>
      <c r="SQ29" s="23"/>
      <c r="SR29" s="23"/>
      <c r="SS29" s="23"/>
      <c r="ST29" s="23"/>
      <c r="SU29" s="23"/>
      <c r="SV29" s="23"/>
      <c r="SW29" s="23"/>
      <c r="SX29" s="23"/>
      <c r="SY29" s="23"/>
      <c r="SZ29" s="23"/>
      <c r="TA29" s="23"/>
      <c r="TB29" s="23"/>
      <c r="TC29" s="23"/>
      <c r="TD29" s="23"/>
      <c r="TE29" s="23"/>
      <c r="TF29" s="23"/>
      <c r="TG29" s="23"/>
      <c r="TH29" s="23"/>
      <c r="TI29" s="23"/>
      <c r="TJ29" s="23"/>
      <c r="TK29" s="23"/>
      <c r="TL29" s="23"/>
      <c r="TM29" s="23"/>
      <c r="TN29" s="23"/>
      <c r="TO29" s="23"/>
      <c r="TP29" s="23"/>
      <c r="TQ29" s="23"/>
      <c r="TR29" s="23"/>
      <c r="TS29" s="23"/>
      <c r="TT29" s="23"/>
      <c r="TU29" s="23"/>
      <c r="TV29" s="23"/>
    </row>
    <row r="30" spans="1:542" s="17" customFormat="1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  <c r="NA30" s="23"/>
      <c r="NB30" s="23"/>
      <c r="NC30" s="23"/>
      <c r="ND30" s="23"/>
      <c r="NE30" s="23"/>
      <c r="NF30" s="23"/>
      <c r="NG30" s="23"/>
      <c r="NH30" s="23"/>
      <c r="NI30" s="23"/>
      <c r="NJ30" s="23"/>
      <c r="NK30" s="23"/>
      <c r="NL30" s="23"/>
      <c r="NM30" s="23"/>
      <c r="NN30" s="23"/>
      <c r="NO30" s="23"/>
      <c r="NP30" s="23"/>
      <c r="NQ30" s="23"/>
      <c r="NR30" s="23"/>
      <c r="NS30" s="23"/>
      <c r="NT30" s="23"/>
      <c r="NU30" s="23"/>
      <c r="NV30" s="23"/>
      <c r="NW30" s="23"/>
      <c r="NX30" s="23"/>
      <c r="NY30" s="23"/>
      <c r="NZ30" s="23"/>
      <c r="OA30" s="23"/>
      <c r="OB30" s="23"/>
      <c r="OC30" s="23"/>
      <c r="OD30" s="23"/>
      <c r="OE30" s="23"/>
      <c r="OF30" s="23"/>
      <c r="OG30" s="23"/>
      <c r="OH30" s="23"/>
      <c r="OI30" s="23"/>
      <c r="OJ30" s="23"/>
      <c r="OK30" s="23"/>
      <c r="OL30" s="23"/>
      <c r="OM30" s="23"/>
      <c r="ON30" s="23"/>
      <c r="OO30" s="23"/>
      <c r="OP30" s="23"/>
      <c r="OQ30" s="23"/>
      <c r="OR30" s="23"/>
      <c r="OS30" s="23"/>
      <c r="OT30" s="23"/>
      <c r="OU30" s="23"/>
      <c r="OV30" s="23"/>
      <c r="OW30" s="23"/>
      <c r="OX30" s="23"/>
      <c r="OY30" s="23"/>
      <c r="OZ30" s="23"/>
      <c r="PA30" s="23"/>
      <c r="PB30" s="23"/>
      <c r="PC30" s="23"/>
      <c r="PD30" s="23"/>
      <c r="PE30" s="23"/>
      <c r="PF30" s="23"/>
      <c r="PG30" s="23"/>
      <c r="PH30" s="23"/>
      <c r="PI30" s="23"/>
      <c r="PJ30" s="23"/>
      <c r="PK30" s="23"/>
      <c r="PL30" s="23"/>
      <c r="PM30" s="23"/>
      <c r="PN30" s="23"/>
      <c r="PO30" s="23"/>
      <c r="PP30" s="23"/>
      <c r="PQ30" s="23"/>
      <c r="PR30" s="23"/>
      <c r="PS30" s="23"/>
      <c r="PT30" s="23"/>
      <c r="PU30" s="23"/>
      <c r="PV30" s="23"/>
      <c r="PW30" s="23"/>
      <c r="PX30" s="23"/>
      <c r="PY30" s="23"/>
      <c r="PZ30" s="23"/>
      <c r="QA30" s="23"/>
      <c r="QB30" s="23"/>
      <c r="QC30" s="23"/>
      <c r="QD30" s="23"/>
      <c r="QE30" s="23"/>
      <c r="QF30" s="23"/>
      <c r="QG30" s="23"/>
      <c r="QH30" s="23"/>
      <c r="QI30" s="23"/>
      <c r="QJ30" s="23"/>
      <c r="QK30" s="23"/>
      <c r="QL30" s="23"/>
      <c r="QM30" s="23"/>
      <c r="QN30" s="23"/>
      <c r="QO30" s="23"/>
      <c r="QP30" s="23"/>
      <c r="QQ30" s="23"/>
      <c r="QR30" s="23"/>
      <c r="QS30" s="23"/>
      <c r="QT30" s="23"/>
      <c r="QU30" s="23"/>
      <c r="QV30" s="23"/>
      <c r="QW30" s="23"/>
      <c r="QX30" s="23"/>
      <c r="QY30" s="23"/>
      <c r="QZ30" s="23"/>
      <c r="RA30" s="23"/>
      <c r="RB30" s="23"/>
      <c r="RC30" s="23"/>
      <c r="RD30" s="23"/>
      <c r="RE30" s="23"/>
      <c r="RF30" s="23"/>
      <c r="RG30" s="23"/>
      <c r="RH30" s="23"/>
      <c r="RI30" s="23"/>
      <c r="RJ30" s="23"/>
      <c r="RK30" s="23"/>
      <c r="RL30" s="23"/>
      <c r="RM30" s="23"/>
      <c r="RN30" s="23"/>
      <c r="RO30" s="23"/>
      <c r="RP30" s="23"/>
      <c r="RQ30" s="23"/>
      <c r="RR30" s="23"/>
      <c r="RS30" s="23"/>
      <c r="RT30" s="23"/>
      <c r="RU30" s="23"/>
      <c r="RV30" s="23"/>
      <c r="RW30" s="23"/>
      <c r="RX30" s="23"/>
      <c r="RY30" s="23"/>
      <c r="RZ30" s="23"/>
      <c r="SA30" s="23"/>
      <c r="SB30" s="23"/>
      <c r="SC30" s="23"/>
      <c r="SD30" s="23"/>
      <c r="SE30" s="23"/>
      <c r="SF30" s="23"/>
      <c r="SG30" s="23"/>
      <c r="SH30" s="23"/>
      <c r="SI30" s="23"/>
      <c r="SJ30" s="23"/>
      <c r="SK30" s="23"/>
      <c r="SL30" s="23"/>
      <c r="SM30" s="23"/>
      <c r="SN30" s="23"/>
      <c r="SO30" s="23"/>
      <c r="SP30" s="23"/>
      <c r="SQ30" s="23"/>
      <c r="SR30" s="23"/>
      <c r="SS30" s="23"/>
      <c r="ST30" s="23"/>
      <c r="SU30" s="23"/>
      <c r="SV30" s="23"/>
      <c r="SW30" s="23"/>
      <c r="SX30" s="23"/>
      <c r="SY30" s="23"/>
      <c r="SZ30" s="23"/>
      <c r="TA30" s="23"/>
      <c r="TB30" s="23"/>
      <c r="TC30" s="23"/>
      <c r="TD30" s="23"/>
      <c r="TE30" s="23"/>
      <c r="TF30" s="23"/>
      <c r="TG30" s="23"/>
      <c r="TH30" s="23"/>
      <c r="TI30" s="23"/>
      <c r="TJ30" s="23"/>
      <c r="TK30" s="23"/>
      <c r="TL30" s="23"/>
      <c r="TM30" s="23"/>
      <c r="TN30" s="23"/>
      <c r="TO30" s="23"/>
      <c r="TP30" s="23"/>
      <c r="TQ30" s="23"/>
      <c r="TR30" s="23"/>
      <c r="TS30" s="23"/>
      <c r="TT30" s="23"/>
      <c r="TU30" s="23"/>
      <c r="TV30" s="23"/>
    </row>
    <row r="31" spans="1:542" s="17" customFormat="1" ht="18" customHeight="1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  <c r="PJ31" s="23"/>
      <c r="PK31" s="23"/>
      <c r="PL31" s="23"/>
      <c r="PM31" s="23"/>
      <c r="PN31" s="23"/>
      <c r="PO31" s="23"/>
      <c r="PP31" s="23"/>
      <c r="PQ31" s="23"/>
      <c r="PR31" s="23"/>
      <c r="PS31" s="23"/>
      <c r="PT31" s="23"/>
      <c r="PU31" s="23"/>
      <c r="PV31" s="23"/>
      <c r="PW31" s="23"/>
      <c r="PX31" s="23"/>
      <c r="PY31" s="23"/>
      <c r="PZ31" s="23"/>
      <c r="QA31" s="23"/>
      <c r="QB31" s="23"/>
      <c r="QC31" s="23"/>
      <c r="QD31" s="23"/>
      <c r="QE31" s="23"/>
      <c r="QF31" s="23"/>
      <c r="QG31" s="23"/>
      <c r="QH31" s="23"/>
      <c r="QI31" s="23"/>
      <c r="QJ31" s="23"/>
      <c r="QK31" s="23"/>
      <c r="QL31" s="23"/>
      <c r="QM31" s="23"/>
      <c r="QN31" s="23"/>
      <c r="QO31" s="23"/>
      <c r="QP31" s="23"/>
      <c r="QQ31" s="23"/>
      <c r="QR31" s="23"/>
      <c r="QS31" s="23"/>
      <c r="QT31" s="23"/>
      <c r="QU31" s="23"/>
      <c r="QV31" s="23"/>
      <c r="QW31" s="23"/>
      <c r="QX31" s="23"/>
      <c r="QY31" s="23"/>
      <c r="QZ31" s="23"/>
      <c r="RA31" s="23"/>
      <c r="RB31" s="23"/>
      <c r="RC31" s="23"/>
      <c r="RD31" s="23"/>
      <c r="RE31" s="23"/>
      <c r="RF31" s="23"/>
      <c r="RG31" s="23"/>
      <c r="RH31" s="23"/>
      <c r="RI31" s="23"/>
      <c r="RJ31" s="23"/>
      <c r="RK31" s="23"/>
      <c r="RL31" s="23"/>
      <c r="RM31" s="23"/>
      <c r="RN31" s="23"/>
      <c r="RO31" s="23"/>
      <c r="RP31" s="23"/>
      <c r="RQ31" s="23"/>
      <c r="RR31" s="23"/>
      <c r="RS31" s="23"/>
      <c r="RT31" s="23"/>
      <c r="RU31" s="23"/>
      <c r="RV31" s="23"/>
      <c r="RW31" s="23"/>
      <c r="RX31" s="23"/>
      <c r="RY31" s="23"/>
      <c r="RZ31" s="23"/>
      <c r="SA31" s="23"/>
      <c r="SB31" s="23"/>
      <c r="SC31" s="23"/>
      <c r="SD31" s="23"/>
      <c r="SE31" s="23"/>
      <c r="SF31" s="23"/>
      <c r="SG31" s="23"/>
      <c r="SH31" s="23"/>
      <c r="SI31" s="23"/>
      <c r="SJ31" s="23"/>
      <c r="SK31" s="23"/>
      <c r="SL31" s="23"/>
      <c r="SM31" s="23"/>
      <c r="SN31" s="23"/>
      <c r="SO31" s="23"/>
      <c r="SP31" s="23"/>
      <c r="SQ31" s="23"/>
      <c r="SR31" s="23"/>
      <c r="SS31" s="23"/>
      <c r="ST31" s="23"/>
      <c r="SU31" s="23"/>
      <c r="SV31" s="23"/>
      <c r="SW31" s="23"/>
      <c r="SX31" s="23"/>
      <c r="SY31" s="23"/>
      <c r="SZ31" s="23"/>
      <c r="TA31" s="23"/>
      <c r="TB31" s="23"/>
      <c r="TC31" s="23"/>
      <c r="TD31" s="23"/>
      <c r="TE31" s="23"/>
      <c r="TF31" s="23"/>
      <c r="TG31" s="23"/>
      <c r="TH31" s="23"/>
      <c r="TI31" s="23"/>
      <c r="TJ31" s="23"/>
      <c r="TK31" s="23"/>
      <c r="TL31" s="23"/>
      <c r="TM31" s="23"/>
      <c r="TN31" s="23"/>
      <c r="TO31" s="23"/>
      <c r="TP31" s="23"/>
      <c r="TQ31" s="23"/>
      <c r="TR31" s="23"/>
      <c r="TS31" s="23"/>
      <c r="TT31" s="23"/>
      <c r="TU31" s="23"/>
      <c r="TV31" s="23"/>
    </row>
    <row r="32" spans="1:542" s="17" customFormat="1" ht="12.75" customHeigh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  <c r="NA32" s="23"/>
      <c r="NB32" s="23"/>
      <c r="NC32" s="23"/>
      <c r="ND32" s="23"/>
      <c r="NE32" s="23"/>
      <c r="NF32" s="23"/>
      <c r="NG32" s="23"/>
      <c r="NH32" s="23"/>
      <c r="NI32" s="23"/>
      <c r="NJ32" s="23"/>
      <c r="NK32" s="23"/>
      <c r="NL32" s="23"/>
      <c r="NM32" s="23"/>
      <c r="NN32" s="23"/>
      <c r="NO32" s="23"/>
      <c r="NP32" s="23"/>
      <c r="NQ32" s="23"/>
      <c r="NR32" s="23"/>
      <c r="NS32" s="23"/>
      <c r="NT32" s="23"/>
      <c r="NU32" s="23"/>
      <c r="NV32" s="23"/>
      <c r="NW32" s="23"/>
      <c r="NX32" s="23"/>
      <c r="NY32" s="23"/>
      <c r="NZ32" s="23"/>
      <c r="OA32" s="23"/>
      <c r="OB32" s="23"/>
      <c r="OC32" s="23"/>
      <c r="OD32" s="23"/>
      <c r="OE32" s="23"/>
      <c r="OF32" s="23"/>
      <c r="OG32" s="23"/>
      <c r="OH32" s="23"/>
      <c r="OI32" s="23"/>
      <c r="OJ32" s="23"/>
      <c r="OK32" s="23"/>
      <c r="OL32" s="23"/>
      <c r="OM32" s="23"/>
      <c r="ON32" s="23"/>
      <c r="OO32" s="23"/>
      <c r="OP32" s="23"/>
      <c r="OQ32" s="23"/>
      <c r="OR32" s="23"/>
      <c r="OS32" s="23"/>
      <c r="OT32" s="23"/>
      <c r="OU32" s="23"/>
      <c r="OV32" s="23"/>
      <c r="OW32" s="23"/>
      <c r="OX32" s="23"/>
      <c r="OY32" s="23"/>
      <c r="OZ32" s="23"/>
      <c r="PA32" s="23"/>
      <c r="PB32" s="23"/>
      <c r="PC32" s="23"/>
      <c r="PD32" s="23"/>
      <c r="PE32" s="23"/>
      <c r="PF32" s="23"/>
      <c r="PG32" s="23"/>
      <c r="PH32" s="23"/>
      <c r="PI32" s="23"/>
      <c r="PJ32" s="23"/>
      <c r="PK32" s="23"/>
      <c r="PL32" s="23"/>
      <c r="PM32" s="23"/>
      <c r="PN32" s="23"/>
      <c r="PO32" s="23"/>
      <c r="PP32" s="23"/>
      <c r="PQ32" s="23"/>
      <c r="PR32" s="23"/>
      <c r="PS32" s="23"/>
      <c r="PT32" s="23"/>
      <c r="PU32" s="23"/>
      <c r="PV32" s="23"/>
      <c r="PW32" s="23"/>
      <c r="PX32" s="23"/>
      <c r="PY32" s="23"/>
      <c r="PZ32" s="23"/>
      <c r="QA32" s="23"/>
      <c r="QB32" s="23"/>
      <c r="QC32" s="23"/>
      <c r="QD32" s="23"/>
      <c r="QE32" s="23"/>
      <c r="QF32" s="23"/>
      <c r="QG32" s="23"/>
      <c r="QH32" s="23"/>
      <c r="QI32" s="23"/>
      <c r="QJ32" s="23"/>
      <c r="QK32" s="23"/>
      <c r="QL32" s="23"/>
      <c r="QM32" s="23"/>
      <c r="QN32" s="23"/>
      <c r="QO32" s="23"/>
      <c r="QP32" s="23"/>
      <c r="QQ32" s="23"/>
      <c r="QR32" s="23"/>
      <c r="QS32" s="23"/>
      <c r="QT32" s="23"/>
      <c r="QU32" s="23"/>
      <c r="QV32" s="23"/>
      <c r="QW32" s="23"/>
      <c r="QX32" s="23"/>
      <c r="QY32" s="23"/>
      <c r="QZ32" s="23"/>
      <c r="RA32" s="23"/>
      <c r="RB32" s="23"/>
      <c r="RC32" s="23"/>
      <c r="RD32" s="23"/>
      <c r="RE32" s="23"/>
      <c r="RF32" s="23"/>
      <c r="RG32" s="23"/>
      <c r="RH32" s="23"/>
      <c r="RI32" s="23"/>
      <c r="RJ32" s="23"/>
      <c r="RK32" s="23"/>
      <c r="RL32" s="23"/>
      <c r="RM32" s="23"/>
      <c r="RN32" s="23"/>
      <c r="RO32" s="23"/>
      <c r="RP32" s="23"/>
      <c r="RQ32" s="23"/>
      <c r="RR32" s="23"/>
      <c r="RS32" s="23"/>
      <c r="RT32" s="23"/>
      <c r="RU32" s="23"/>
      <c r="RV32" s="23"/>
      <c r="RW32" s="23"/>
      <c r="RX32" s="23"/>
      <c r="RY32" s="23"/>
      <c r="RZ32" s="23"/>
      <c r="SA32" s="23"/>
      <c r="SB32" s="23"/>
      <c r="SC32" s="23"/>
      <c r="SD32" s="23"/>
      <c r="SE32" s="23"/>
      <c r="SF32" s="23"/>
      <c r="SG32" s="23"/>
      <c r="SH32" s="23"/>
      <c r="SI32" s="23"/>
      <c r="SJ32" s="23"/>
      <c r="SK32" s="23"/>
      <c r="SL32" s="23"/>
      <c r="SM32" s="23"/>
      <c r="SN32" s="23"/>
      <c r="SO32" s="23"/>
      <c r="SP32" s="23"/>
      <c r="SQ32" s="23"/>
      <c r="SR32" s="23"/>
      <c r="SS32" s="23"/>
      <c r="ST32" s="23"/>
      <c r="SU32" s="23"/>
      <c r="SV32" s="23"/>
      <c r="SW32" s="23"/>
      <c r="SX32" s="23"/>
      <c r="SY32" s="23"/>
      <c r="SZ32" s="23"/>
      <c r="TA32" s="23"/>
      <c r="TB32" s="23"/>
      <c r="TC32" s="23"/>
      <c r="TD32" s="23"/>
      <c r="TE32" s="23"/>
      <c r="TF32" s="23"/>
      <c r="TG32" s="23"/>
      <c r="TH32" s="23"/>
      <c r="TI32" s="23"/>
      <c r="TJ32" s="23"/>
      <c r="TK32" s="23"/>
      <c r="TL32" s="23"/>
      <c r="TM32" s="23"/>
      <c r="TN32" s="23"/>
      <c r="TO32" s="23"/>
      <c r="TP32" s="23"/>
      <c r="TQ32" s="23"/>
      <c r="TR32" s="23"/>
      <c r="TS32" s="23"/>
      <c r="TT32" s="23"/>
      <c r="TU32" s="23"/>
      <c r="TV32" s="23"/>
    </row>
    <row r="33" spans="1:542" s="17" customFormat="1" ht="12.75" customHeight="1" x14ac:dyDescent="0.25">
      <c r="A33" s="23"/>
      <c r="B33" s="23"/>
      <c r="C33" s="23"/>
      <c r="D33" s="23"/>
      <c r="E33" s="23"/>
      <c r="F33" s="23"/>
      <c r="G33" s="23"/>
      <c r="H33" s="224" t="s">
        <v>56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  <c r="NA33" s="23"/>
      <c r="NB33" s="23"/>
      <c r="NC33" s="23"/>
      <c r="ND33" s="23"/>
      <c r="NE33" s="23"/>
      <c r="NF33" s="23"/>
      <c r="NG33" s="23"/>
      <c r="NH33" s="23"/>
      <c r="NI33" s="23"/>
      <c r="NJ33" s="23"/>
      <c r="NK33" s="23"/>
      <c r="NL33" s="23"/>
      <c r="NM33" s="23"/>
      <c r="NN33" s="23"/>
      <c r="NO33" s="23"/>
      <c r="NP33" s="23"/>
      <c r="NQ33" s="23"/>
      <c r="NR33" s="23"/>
      <c r="NS33" s="23"/>
      <c r="NT33" s="23"/>
      <c r="NU33" s="23"/>
      <c r="NV33" s="23"/>
      <c r="NW33" s="23"/>
      <c r="NX33" s="23"/>
      <c r="NY33" s="23"/>
      <c r="NZ33" s="23"/>
      <c r="OA33" s="23"/>
      <c r="OB33" s="23"/>
      <c r="OC33" s="23"/>
      <c r="OD33" s="23"/>
      <c r="OE33" s="23"/>
      <c r="OF33" s="23"/>
      <c r="OG33" s="23"/>
      <c r="OH33" s="23"/>
      <c r="OI33" s="23"/>
      <c r="OJ33" s="23"/>
      <c r="OK33" s="23"/>
      <c r="OL33" s="23"/>
      <c r="OM33" s="23"/>
      <c r="ON33" s="23"/>
      <c r="OO33" s="23"/>
      <c r="OP33" s="23"/>
      <c r="OQ33" s="23"/>
      <c r="OR33" s="23"/>
      <c r="OS33" s="23"/>
      <c r="OT33" s="23"/>
      <c r="OU33" s="23"/>
      <c r="OV33" s="23"/>
      <c r="OW33" s="23"/>
      <c r="OX33" s="23"/>
      <c r="OY33" s="23"/>
      <c r="OZ33" s="23"/>
      <c r="PA33" s="23"/>
      <c r="PB33" s="23"/>
      <c r="PC33" s="23"/>
      <c r="PD33" s="23"/>
      <c r="PE33" s="23"/>
      <c r="PF33" s="23"/>
      <c r="PG33" s="23"/>
      <c r="PH33" s="23"/>
      <c r="PI33" s="23"/>
      <c r="PJ33" s="23"/>
      <c r="PK33" s="23"/>
      <c r="PL33" s="23"/>
      <c r="PM33" s="23"/>
      <c r="PN33" s="23"/>
      <c r="PO33" s="23"/>
      <c r="PP33" s="23"/>
      <c r="PQ33" s="23"/>
      <c r="PR33" s="23"/>
      <c r="PS33" s="23"/>
      <c r="PT33" s="23"/>
      <c r="PU33" s="23"/>
      <c r="PV33" s="23"/>
      <c r="PW33" s="23"/>
      <c r="PX33" s="23"/>
      <c r="PY33" s="23"/>
      <c r="PZ33" s="23"/>
      <c r="QA33" s="23"/>
      <c r="QB33" s="23"/>
      <c r="QC33" s="23"/>
      <c r="QD33" s="23"/>
      <c r="QE33" s="23"/>
      <c r="QF33" s="23"/>
      <c r="QG33" s="23"/>
      <c r="QH33" s="23"/>
      <c r="QI33" s="23"/>
      <c r="QJ33" s="23"/>
      <c r="QK33" s="23"/>
      <c r="QL33" s="23"/>
      <c r="QM33" s="23"/>
      <c r="QN33" s="23"/>
      <c r="QO33" s="23"/>
      <c r="QP33" s="23"/>
      <c r="QQ33" s="23"/>
      <c r="QR33" s="23"/>
      <c r="QS33" s="23"/>
      <c r="QT33" s="23"/>
      <c r="QU33" s="23"/>
      <c r="QV33" s="23"/>
      <c r="QW33" s="23"/>
      <c r="QX33" s="23"/>
      <c r="QY33" s="23"/>
      <c r="QZ33" s="23"/>
      <c r="RA33" s="23"/>
      <c r="RB33" s="23"/>
      <c r="RC33" s="23"/>
      <c r="RD33" s="23"/>
      <c r="RE33" s="23"/>
      <c r="RF33" s="23"/>
      <c r="RG33" s="23"/>
      <c r="RH33" s="23"/>
      <c r="RI33" s="23"/>
      <c r="RJ33" s="23"/>
      <c r="RK33" s="23"/>
      <c r="RL33" s="23"/>
      <c r="RM33" s="23"/>
      <c r="RN33" s="23"/>
      <c r="RO33" s="23"/>
      <c r="RP33" s="23"/>
      <c r="RQ33" s="23"/>
      <c r="RR33" s="23"/>
      <c r="RS33" s="23"/>
      <c r="RT33" s="23"/>
      <c r="RU33" s="23"/>
      <c r="RV33" s="23"/>
      <c r="RW33" s="23"/>
      <c r="RX33" s="23"/>
      <c r="RY33" s="23"/>
      <c r="RZ33" s="23"/>
      <c r="SA33" s="23"/>
      <c r="SB33" s="23"/>
      <c r="SC33" s="23"/>
      <c r="SD33" s="23"/>
      <c r="SE33" s="23"/>
      <c r="SF33" s="23"/>
      <c r="SG33" s="23"/>
      <c r="SH33" s="23"/>
      <c r="SI33" s="23"/>
      <c r="SJ33" s="23"/>
      <c r="SK33" s="23"/>
      <c r="SL33" s="23"/>
      <c r="SM33" s="23"/>
      <c r="SN33" s="23"/>
      <c r="SO33" s="23"/>
      <c r="SP33" s="23"/>
      <c r="SQ33" s="23"/>
      <c r="SR33" s="23"/>
      <c r="SS33" s="23"/>
      <c r="ST33" s="23"/>
      <c r="SU33" s="23"/>
      <c r="SV33" s="23"/>
      <c r="SW33" s="23"/>
      <c r="SX33" s="23"/>
      <c r="SY33" s="23"/>
      <c r="SZ33" s="23"/>
      <c r="TA33" s="23"/>
      <c r="TB33" s="23"/>
      <c r="TC33" s="23"/>
      <c r="TD33" s="23"/>
      <c r="TE33" s="23"/>
      <c r="TF33" s="23"/>
      <c r="TG33" s="23"/>
      <c r="TH33" s="23"/>
      <c r="TI33" s="23"/>
      <c r="TJ33" s="23"/>
      <c r="TK33" s="23"/>
      <c r="TL33" s="23"/>
      <c r="TM33" s="23"/>
      <c r="TN33" s="23"/>
      <c r="TO33" s="23"/>
      <c r="TP33" s="23"/>
      <c r="TQ33" s="23"/>
      <c r="TR33" s="23"/>
      <c r="TS33" s="23"/>
      <c r="TT33" s="23"/>
      <c r="TU33" s="23"/>
      <c r="TV33" s="23"/>
    </row>
    <row r="34" spans="1:542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271" t="s">
        <v>55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3"/>
      <c r="NH34" s="23"/>
      <c r="NI34" s="23"/>
      <c r="NJ34" s="23"/>
      <c r="NK34" s="23"/>
      <c r="NL34" s="23"/>
      <c r="NM34" s="23"/>
      <c r="NN34" s="23"/>
      <c r="NO34" s="23"/>
      <c r="NP34" s="23"/>
      <c r="NQ34" s="23"/>
      <c r="NR34" s="23"/>
      <c r="NS34" s="23"/>
      <c r="NT34" s="23"/>
      <c r="NU34" s="23"/>
      <c r="NV34" s="23"/>
      <c r="NW34" s="23"/>
      <c r="NX34" s="23"/>
      <c r="NY34" s="23"/>
      <c r="NZ34" s="23"/>
      <c r="OA34" s="23"/>
      <c r="OB34" s="23"/>
      <c r="OC34" s="23"/>
      <c r="OD34" s="23"/>
      <c r="OE34" s="23"/>
      <c r="OF34" s="23"/>
      <c r="OG34" s="23"/>
      <c r="OH34" s="23"/>
      <c r="OI34" s="23"/>
      <c r="OJ34" s="23"/>
      <c r="OK34" s="23"/>
      <c r="OL34" s="23"/>
      <c r="OM34" s="23"/>
      <c r="ON34" s="23"/>
      <c r="OO34" s="23"/>
      <c r="OP34" s="23"/>
      <c r="OQ34" s="23"/>
      <c r="OR34" s="23"/>
      <c r="OS34" s="23"/>
      <c r="OT34" s="23"/>
      <c r="OU34" s="23"/>
      <c r="OV34" s="23"/>
      <c r="OW34" s="23"/>
      <c r="OX34" s="23"/>
      <c r="OY34" s="23"/>
      <c r="OZ34" s="23"/>
      <c r="PA34" s="23"/>
      <c r="PB34" s="23"/>
      <c r="PC34" s="23"/>
      <c r="PD34" s="23"/>
      <c r="PE34" s="23"/>
      <c r="PF34" s="23"/>
      <c r="PG34" s="23"/>
      <c r="PH34" s="23"/>
      <c r="PI34" s="23"/>
      <c r="PJ34" s="23"/>
      <c r="PK34" s="23"/>
      <c r="PL34" s="23"/>
      <c r="PM34" s="23"/>
      <c r="PN34" s="23"/>
      <c r="PO34" s="23"/>
      <c r="PP34" s="23"/>
      <c r="PQ34" s="23"/>
      <c r="PR34" s="23"/>
      <c r="PS34" s="23"/>
      <c r="PT34" s="23"/>
      <c r="PU34" s="23"/>
      <c r="PV34" s="23"/>
      <c r="PW34" s="23"/>
      <c r="PX34" s="23"/>
      <c r="PY34" s="23"/>
      <c r="PZ34" s="23"/>
      <c r="QA34" s="23"/>
      <c r="QB34" s="23"/>
      <c r="QC34" s="23"/>
      <c r="QD34" s="23"/>
      <c r="QE34" s="23"/>
      <c r="QF34" s="23"/>
      <c r="QG34" s="23"/>
      <c r="QH34" s="23"/>
      <c r="QI34" s="23"/>
      <c r="QJ34" s="23"/>
      <c r="QK34" s="23"/>
      <c r="QL34" s="23"/>
      <c r="QM34" s="23"/>
      <c r="QN34" s="23"/>
      <c r="QO34" s="23"/>
      <c r="QP34" s="23"/>
      <c r="QQ34" s="23"/>
      <c r="QR34" s="23"/>
      <c r="QS34" s="23"/>
      <c r="QT34" s="23"/>
      <c r="QU34" s="23"/>
      <c r="QV34" s="23"/>
      <c r="QW34" s="23"/>
      <c r="QX34" s="23"/>
      <c r="QY34" s="23"/>
      <c r="QZ34" s="23"/>
      <c r="RA34" s="23"/>
      <c r="RB34" s="23"/>
      <c r="RC34" s="23"/>
      <c r="RD34" s="23"/>
      <c r="RE34" s="23"/>
      <c r="RF34" s="23"/>
      <c r="RG34" s="23"/>
      <c r="RH34" s="23"/>
      <c r="RI34" s="23"/>
      <c r="RJ34" s="23"/>
      <c r="RK34" s="23"/>
      <c r="RL34" s="23"/>
      <c r="RM34" s="23"/>
      <c r="RN34" s="23"/>
      <c r="RO34" s="23"/>
      <c r="RP34" s="23"/>
      <c r="RQ34" s="23"/>
      <c r="RR34" s="23"/>
      <c r="RS34" s="23"/>
      <c r="RT34" s="23"/>
      <c r="RU34" s="23"/>
      <c r="RV34" s="23"/>
      <c r="RW34" s="23"/>
      <c r="RX34" s="23"/>
      <c r="RY34" s="23"/>
      <c r="RZ34" s="23"/>
      <c r="SA34" s="23"/>
      <c r="SB34" s="23"/>
      <c r="SC34" s="23"/>
      <c r="SD34" s="23"/>
      <c r="SE34" s="23"/>
      <c r="SF34" s="23"/>
      <c r="SG34" s="23"/>
      <c r="SH34" s="23"/>
      <c r="SI34" s="23"/>
      <c r="SJ34" s="23"/>
      <c r="SK34" s="23"/>
      <c r="SL34" s="23"/>
      <c r="SM34" s="23"/>
      <c r="SN34" s="23"/>
      <c r="SO34" s="23"/>
      <c r="SP34" s="23"/>
      <c r="SQ34" s="23"/>
      <c r="SR34" s="23"/>
      <c r="SS34" s="23"/>
      <c r="ST34" s="23"/>
      <c r="SU34" s="23"/>
      <c r="SV34" s="23"/>
      <c r="SW34" s="23"/>
      <c r="SX34" s="23"/>
      <c r="SY34" s="23"/>
      <c r="SZ34" s="23"/>
      <c r="TA34" s="23"/>
      <c r="TB34" s="23"/>
      <c r="TC34" s="23"/>
      <c r="TD34" s="23"/>
      <c r="TE34" s="23"/>
      <c r="TF34" s="23"/>
      <c r="TG34" s="23"/>
      <c r="TH34" s="23"/>
      <c r="TI34" s="23"/>
      <c r="TJ34" s="23"/>
      <c r="TK34" s="23"/>
      <c r="TL34" s="23"/>
      <c r="TM34" s="23"/>
      <c r="TN34" s="23"/>
      <c r="TO34" s="23"/>
      <c r="TP34" s="23"/>
      <c r="TQ34" s="23"/>
      <c r="TR34" s="23"/>
      <c r="TS34" s="23"/>
      <c r="TT34" s="23"/>
      <c r="TU34" s="23"/>
      <c r="TV34" s="23"/>
    </row>
    <row r="35" spans="1:542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7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3"/>
      <c r="NC35" s="23"/>
      <c r="ND35" s="23"/>
      <c r="NE35" s="23"/>
      <c r="NF35" s="23"/>
      <c r="NG35" s="23"/>
      <c r="NH35" s="23"/>
      <c r="NI35" s="23"/>
      <c r="NJ35" s="23"/>
      <c r="NK35" s="23"/>
      <c r="NL35" s="23"/>
      <c r="NM35" s="23"/>
      <c r="NN35" s="23"/>
      <c r="NO35" s="23"/>
      <c r="NP35" s="23"/>
      <c r="NQ35" s="23"/>
      <c r="NR35" s="23"/>
      <c r="NS35" s="23"/>
      <c r="NT35" s="23"/>
      <c r="NU35" s="23"/>
      <c r="NV35" s="23"/>
      <c r="NW35" s="23"/>
      <c r="NX35" s="23"/>
      <c r="NY35" s="23"/>
      <c r="NZ35" s="23"/>
      <c r="OA35" s="23"/>
      <c r="OB35" s="23"/>
      <c r="OC35" s="23"/>
      <c r="OD35" s="23"/>
      <c r="OE35" s="23"/>
      <c r="OF35" s="23"/>
      <c r="OG35" s="23"/>
      <c r="OH35" s="23"/>
      <c r="OI35" s="23"/>
      <c r="OJ35" s="23"/>
      <c r="OK35" s="23"/>
      <c r="OL35" s="23"/>
      <c r="OM35" s="23"/>
      <c r="ON35" s="23"/>
      <c r="OO35" s="23"/>
      <c r="OP35" s="23"/>
      <c r="OQ35" s="23"/>
      <c r="OR35" s="23"/>
      <c r="OS35" s="23"/>
      <c r="OT35" s="23"/>
      <c r="OU35" s="23"/>
      <c r="OV35" s="23"/>
      <c r="OW35" s="23"/>
      <c r="OX35" s="23"/>
      <c r="OY35" s="23"/>
      <c r="OZ35" s="23"/>
      <c r="PA35" s="23"/>
      <c r="PB35" s="23"/>
      <c r="PC35" s="23"/>
      <c r="PD35" s="23"/>
      <c r="PE35" s="23"/>
      <c r="PF35" s="23"/>
      <c r="PG35" s="23"/>
      <c r="PH35" s="23"/>
      <c r="PI35" s="23"/>
      <c r="PJ35" s="23"/>
      <c r="PK35" s="23"/>
      <c r="PL35" s="23"/>
      <c r="PM35" s="23"/>
      <c r="PN35" s="23"/>
      <c r="PO35" s="23"/>
      <c r="PP35" s="23"/>
      <c r="PQ35" s="23"/>
      <c r="PR35" s="23"/>
      <c r="PS35" s="23"/>
      <c r="PT35" s="23"/>
      <c r="PU35" s="23"/>
      <c r="PV35" s="23"/>
      <c r="PW35" s="23"/>
      <c r="PX35" s="23"/>
      <c r="PY35" s="23"/>
      <c r="PZ35" s="23"/>
      <c r="QA35" s="23"/>
      <c r="QB35" s="23"/>
      <c r="QC35" s="23"/>
      <c r="QD35" s="23"/>
      <c r="QE35" s="23"/>
      <c r="QF35" s="23"/>
      <c r="QG35" s="23"/>
      <c r="QH35" s="23"/>
      <c r="QI35" s="23"/>
      <c r="QJ35" s="23"/>
      <c r="QK35" s="23"/>
      <c r="QL35" s="23"/>
      <c r="QM35" s="23"/>
      <c r="QN35" s="23"/>
      <c r="QO35" s="23"/>
      <c r="QP35" s="23"/>
      <c r="QQ35" s="23"/>
      <c r="QR35" s="23"/>
      <c r="QS35" s="23"/>
      <c r="QT35" s="23"/>
      <c r="QU35" s="23"/>
      <c r="QV35" s="23"/>
      <c r="QW35" s="23"/>
      <c r="QX35" s="23"/>
      <c r="QY35" s="23"/>
      <c r="QZ35" s="23"/>
      <c r="RA35" s="23"/>
      <c r="RB35" s="23"/>
      <c r="RC35" s="23"/>
      <c r="RD35" s="23"/>
      <c r="RE35" s="23"/>
      <c r="RF35" s="23"/>
      <c r="RG35" s="23"/>
      <c r="RH35" s="23"/>
      <c r="RI35" s="23"/>
      <c r="RJ35" s="23"/>
      <c r="RK35" s="23"/>
      <c r="RL35" s="23"/>
      <c r="RM35" s="23"/>
      <c r="RN35" s="23"/>
      <c r="RO35" s="23"/>
      <c r="RP35" s="23"/>
      <c r="RQ35" s="23"/>
      <c r="RR35" s="23"/>
      <c r="RS35" s="23"/>
      <c r="RT35" s="23"/>
      <c r="RU35" s="23"/>
      <c r="RV35" s="23"/>
      <c r="RW35" s="23"/>
      <c r="RX35" s="23"/>
      <c r="RY35" s="23"/>
      <c r="RZ35" s="23"/>
      <c r="SA35" s="23"/>
      <c r="SB35" s="23"/>
      <c r="SC35" s="23"/>
      <c r="SD35" s="23"/>
      <c r="SE35" s="23"/>
      <c r="SF35" s="23"/>
      <c r="SG35" s="23"/>
      <c r="SH35" s="23"/>
      <c r="SI35" s="23"/>
      <c r="SJ35" s="23"/>
      <c r="SK35" s="23"/>
      <c r="SL35" s="23"/>
      <c r="SM35" s="23"/>
      <c r="SN35" s="23"/>
      <c r="SO35" s="23"/>
      <c r="SP35" s="23"/>
      <c r="SQ35" s="23"/>
      <c r="SR35" s="23"/>
      <c r="SS35" s="23"/>
      <c r="ST35" s="23"/>
      <c r="SU35" s="23"/>
      <c r="SV35" s="23"/>
      <c r="SW35" s="23"/>
      <c r="SX35" s="23"/>
      <c r="SY35" s="23"/>
      <c r="SZ35" s="23"/>
      <c r="TA35" s="23"/>
      <c r="TB35" s="23"/>
      <c r="TC35" s="23"/>
      <c r="TD35" s="23"/>
      <c r="TE35" s="23"/>
      <c r="TF35" s="23"/>
      <c r="TG35" s="23"/>
      <c r="TH35" s="23"/>
      <c r="TI35" s="23"/>
      <c r="TJ35" s="23"/>
      <c r="TK35" s="23"/>
      <c r="TL35" s="23"/>
      <c r="TM35" s="23"/>
      <c r="TN35" s="23"/>
      <c r="TO35" s="23"/>
      <c r="TP35" s="23"/>
      <c r="TQ35" s="23"/>
      <c r="TR35" s="23"/>
      <c r="TS35" s="23"/>
      <c r="TT35" s="23"/>
      <c r="TU35" s="23"/>
      <c r="TV35" s="23"/>
    </row>
    <row r="36" spans="1:542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  <c r="KS36" s="23"/>
      <c r="KT36" s="23"/>
      <c r="KU36" s="23"/>
      <c r="KV36" s="23"/>
      <c r="KW36" s="23"/>
      <c r="KX36" s="23"/>
      <c r="KY36" s="23"/>
      <c r="KZ36" s="23"/>
      <c r="LA36" s="23"/>
      <c r="LB36" s="23"/>
      <c r="LC36" s="23"/>
      <c r="LD36" s="23"/>
      <c r="LE36" s="23"/>
      <c r="LF36" s="23"/>
      <c r="LG36" s="23"/>
      <c r="LH36" s="23"/>
      <c r="LI36" s="23"/>
      <c r="LJ36" s="23"/>
      <c r="LK36" s="23"/>
      <c r="LL36" s="23"/>
      <c r="LM36" s="23"/>
      <c r="LN36" s="23"/>
      <c r="LO36" s="23"/>
      <c r="LP36" s="23"/>
      <c r="LQ36" s="23"/>
      <c r="LR36" s="23"/>
      <c r="LS36" s="23"/>
      <c r="LT36" s="23"/>
      <c r="LU36" s="23"/>
      <c r="LV36" s="23"/>
      <c r="LW36" s="23"/>
      <c r="LX36" s="23"/>
      <c r="LY36" s="23"/>
      <c r="LZ36" s="23"/>
      <c r="MA36" s="23"/>
      <c r="MB36" s="23"/>
      <c r="MC36" s="23"/>
      <c r="MD36" s="23"/>
      <c r="ME36" s="23"/>
      <c r="MF36" s="23"/>
      <c r="MG36" s="23"/>
      <c r="MH36" s="23"/>
      <c r="MI36" s="23"/>
      <c r="MJ36" s="23"/>
      <c r="MK36" s="23"/>
      <c r="ML36" s="23"/>
      <c r="MM36" s="23"/>
      <c r="MN36" s="23"/>
      <c r="MO36" s="23"/>
      <c r="MP36" s="23"/>
      <c r="MQ36" s="23"/>
      <c r="MR36" s="23"/>
      <c r="MS36" s="23"/>
      <c r="MT36" s="23"/>
      <c r="MU36" s="23"/>
      <c r="MV36" s="23"/>
      <c r="MW36" s="23"/>
      <c r="MX36" s="23"/>
      <c r="MY36" s="23"/>
      <c r="MZ36" s="23"/>
      <c r="NA36" s="23"/>
      <c r="NB36" s="23"/>
      <c r="NC36" s="23"/>
      <c r="ND36" s="23"/>
      <c r="NE36" s="23"/>
      <c r="NF36" s="23"/>
      <c r="NG36" s="23"/>
      <c r="NH36" s="23"/>
      <c r="NI36" s="23"/>
      <c r="NJ36" s="23"/>
      <c r="NK36" s="23"/>
      <c r="NL36" s="23"/>
      <c r="NM36" s="23"/>
      <c r="NN36" s="23"/>
      <c r="NO36" s="23"/>
      <c r="NP36" s="23"/>
      <c r="NQ36" s="23"/>
      <c r="NR36" s="23"/>
      <c r="NS36" s="23"/>
      <c r="NT36" s="23"/>
      <c r="NU36" s="23"/>
      <c r="NV36" s="23"/>
      <c r="NW36" s="23"/>
      <c r="NX36" s="23"/>
      <c r="NY36" s="23"/>
      <c r="NZ36" s="23"/>
      <c r="OA36" s="23"/>
      <c r="OB36" s="23"/>
      <c r="OC36" s="23"/>
      <c r="OD36" s="23"/>
      <c r="OE36" s="23"/>
      <c r="OF36" s="23"/>
      <c r="OG36" s="23"/>
      <c r="OH36" s="23"/>
      <c r="OI36" s="23"/>
      <c r="OJ36" s="23"/>
      <c r="OK36" s="23"/>
      <c r="OL36" s="23"/>
      <c r="OM36" s="23"/>
      <c r="ON36" s="23"/>
      <c r="OO36" s="23"/>
      <c r="OP36" s="23"/>
      <c r="OQ36" s="23"/>
      <c r="OR36" s="23"/>
      <c r="OS36" s="23"/>
      <c r="OT36" s="23"/>
      <c r="OU36" s="23"/>
      <c r="OV36" s="23"/>
      <c r="OW36" s="23"/>
      <c r="OX36" s="23"/>
      <c r="OY36" s="23"/>
      <c r="OZ36" s="23"/>
      <c r="PA36" s="23"/>
      <c r="PB36" s="23"/>
      <c r="PC36" s="23"/>
      <c r="PD36" s="23"/>
      <c r="PE36" s="23"/>
      <c r="PF36" s="23"/>
      <c r="PG36" s="23"/>
      <c r="PH36" s="23"/>
      <c r="PI36" s="23"/>
      <c r="PJ36" s="23"/>
      <c r="PK36" s="23"/>
      <c r="PL36" s="23"/>
      <c r="PM36" s="23"/>
      <c r="PN36" s="23"/>
      <c r="PO36" s="23"/>
      <c r="PP36" s="23"/>
      <c r="PQ36" s="23"/>
      <c r="PR36" s="23"/>
      <c r="PS36" s="23"/>
      <c r="PT36" s="23"/>
      <c r="PU36" s="23"/>
      <c r="PV36" s="23"/>
      <c r="PW36" s="23"/>
      <c r="PX36" s="23"/>
      <c r="PY36" s="23"/>
      <c r="PZ36" s="23"/>
      <c r="QA36" s="23"/>
      <c r="QB36" s="23"/>
      <c r="QC36" s="23"/>
      <c r="QD36" s="23"/>
      <c r="QE36" s="23"/>
      <c r="QF36" s="23"/>
      <c r="QG36" s="23"/>
      <c r="QH36" s="23"/>
      <c r="QI36" s="23"/>
      <c r="QJ36" s="23"/>
      <c r="QK36" s="23"/>
      <c r="QL36" s="23"/>
      <c r="QM36" s="23"/>
      <c r="QN36" s="23"/>
      <c r="QO36" s="23"/>
      <c r="QP36" s="23"/>
      <c r="QQ36" s="23"/>
      <c r="QR36" s="23"/>
      <c r="QS36" s="23"/>
      <c r="QT36" s="23"/>
      <c r="QU36" s="23"/>
      <c r="QV36" s="23"/>
      <c r="QW36" s="23"/>
      <c r="QX36" s="23"/>
      <c r="QY36" s="23"/>
      <c r="QZ36" s="23"/>
      <c r="RA36" s="23"/>
      <c r="RB36" s="23"/>
      <c r="RC36" s="23"/>
      <c r="RD36" s="23"/>
      <c r="RE36" s="23"/>
      <c r="RF36" s="23"/>
      <c r="RG36" s="23"/>
      <c r="RH36" s="23"/>
      <c r="RI36" s="23"/>
      <c r="RJ36" s="23"/>
      <c r="RK36" s="23"/>
      <c r="RL36" s="23"/>
      <c r="RM36" s="23"/>
      <c r="RN36" s="23"/>
      <c r="RO36" s="23"/>
      <c r="RP36" s="23"/>
      <c r="RQ36" s="23"/>
      <c r="RR36" s="23"/>
      <c r="RS36" s="23"/>
      <c r="RT36" s="23"/>
      <c r="RU36" s="23"/>
      <c r="RV36" s="23"/>
      <c r="RW36" s="23"/>
      <c r="RX36" s="23"/>
      <c r="RY36" s="23"/>
      <c r="RZ36" s="23"/>
      <c r="SA36" s="23"/>
      <c r="SB36" s="23"/>
      <c r="SC36" s="23"/>
      <c r="SD36" s="23"/>
      <c r="SE36" s="23"/>
      <c r="SF36" s="23"/>
      <c r="SG36" s="23"/>
      <c r="SH36" s="23"/>
      <c r="SI36" s="23"/>
      <c r="SJ36" s="23"/>
      <c r="SK36" s="23"/>
      <c r="SL36" s="23"/>
      <c r="SM36" s="23"/>
      <c r="SN36" s="23"/>
      <c r="SO36" s="23"/>
      <c r="SP36" s="23"/>
      <c r="SQ36" s="23"/>
      <c r="SR36" s="23"/>
      <c r="SS36" s="23"/>
      <c r="ST36" s="23"/>
      <c r="SU36" s="23"/>
      <c r="SV36" s="23"/>
      <c r="SW36" s="23"/>
      <c r="SX36" s="23"/>
      <c r="SY36" s="23"/>
      <c r="SZ36" s="23"/>
      <c r="TA36" s="23"/>
      <c r="TB36" s="23"/>
      <c r="TC36" s="23"/>
      <c r="TD36" s="23"/>
      <c r="TE36" s="23"/>
      <c r="TF36" s="23"/>
      <c r="TG36" s="23"/>
      <c r="TH36" s="23"/>
      <c r="TI36" s="23"/>
      <c r="TJ36" s="23"/>
      <c r="TK36" s="23"/>
      <c r="TL36" s="23"/>
      <c r="TM36" s="23"/>
      <c r="TN36" s="23"/>
      <c r="TO36" s="23"/>
      <c r="TP36" s="23"/>
      <c r="TQ36" s="23"/>
      <c r="TR36" s="23"/>
      <c r="TS36" s="23"/>
      <c r="TT36" s="23"/>
      <c r="TU36" s="23"/>
      <c r="TV36" s="23"/>
    </row>
    <row r="37" spans="1:542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59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  <c r="KH37" s="23"/>
      <c r="KI37" s="23"/>
      <c r="KJ37" s="23"/>
      <c r="KK37" s="23"/>
      <c r="KL37" s="23"/>
      <c r="KM37" s="23"/>
      <c r="KN37" s="23"/>
      <c r="KO37" s="23"/>
      <c r="KP37" s="23"/>
      <c r="KQ37" s="23"/>
      <c r="KR37" s="23"/>
      <c r="KS37" s="23"/>
      <c r="KT37" s="23"/>
      <c r="KU37" s="23"/>
      <c r="KV37" s="23"/>
      <c r="KW37" s="23"/>
      <c r="KX37" s="23"/>
      <c r="KY37" s="23"/>
      <c r="KZ37" s="23"/>
      <c r="LA37" s="23"/>
      <c r="LB37" s="23"/>
      <c r="LC37" s="23"/>
      <c r="LD37" s="23"/>
      <c r="LE37" s="23"/>
      <c r="LF37" s="23"/>
      <c r="LG37" s="23"/>
      <c r="LH37" s="23"/>
      <c r="LI37" s="23"/>
      <c r="LJ37" s="23"/>
      <c r="LK37" s="23"/>
      <c r="LL37" s="23"/>
      <c r="LM37" s="23"/>
      <c r="LN37" s="23"/>
      <c r="LO37" s="23"/>
      <c r="LP37" s="23"/>
      <c r="LQ37" s="23"/>
      <c r="LR37" s="23"/>
      <c r="LS37" s="23"/>
      <c r="LT37" s="23"/>
      <c r="LU37" s="23"/>
      <c r="LV37" s="23"/>
      <c r="LW37" s="23"/>
      <c r="LX37" s="23"/>
      <c r="LY37" s="23"/>
      <c r="LZ37" s="23"/>
      <c r="MA37" s="23"/>
      <c r="MB37" s="23"/>
      <c r="MC37" s="23"/>
      <c r="MD37" s="23"/>
      <c r="ME37" s="23"/>
      <c r="MF37" s="23"/>
      <c r="MG37" s="23"/>
      <c r="MH37" s="23"/>
      <c r="MI37" s="23"/>
      <c r="MJ37" s="23"/>
      <c r="MK37" s="23"/>
      <c r="ML37" s="23"/>
      <c r="MM37" s="23"/>
      <c r="MN37" s="23"/>
      <c r="MO37" s="23"/>
      <c r="MP37" s="23"/>
      <c r="MQ37" s="23"/>
      <c r="MR37" s="23"/>
      <c r="MS37" s="23"/>
      <c r="MT37" s="23"/>
      <c r="MU37" s="23"/>
      <c r="MV37" s="23"/>
      <c r="MW37" s="23"/>
      <c r="MX37" s="23"/>
      <c r="MY37" s="23"/>
      <c r="MZ37" s="23"/>
      <c r="NA37" s="23"/>
      <c r="NB37" s="23"/>
      <c r="NC37" s="23"/>
      <c r="ND37" s="23"/>
      <c r="NE37" s="23"/>
      <c r="NF37" s="23"/>
      <c r="NG37" s="23"/>
      <c r="NH37" s="23"/>
      <c r="NI37" s="23"/>
      <c r="NJ37" s="23"/>
      <c r="NK37" s="23"/>
      <c r="NL37" s="23"/>
      <c r="NM37" s="23"/>
      <c r="NN37" s="23"/>
      <c r="NO37" s="23"/>
      <c r="NP37" s="23"/>
      <c r="NQ37" s="23"/>
      <c r="NR37" s="23"/>
      <c r="NS37" s="23"/>
      <c r="NT37" s="23"/>
      <c r="NU37" s="23"/>
      <c r="NV37" s="23"/>
      <c r="NW37" s="23"/>
      <c r="NX37" s="23"/>
      <c r="NY37" s="23"/>
      <c r="NZ37" s="23"/>
      <c r="OA37" s="23"/>
      <c r="OB37" s="23"/>
      <c r="OC37" s="23"/>
      <c r="OD37" s="23"/>
      <c r="OE37" s="23"/>
      <c r="OF37" s="23"/>
      <c r="OG37" s="23"/>
      <c r="OH37" s="23"/>
      <c r="OI37" s="23"/>
      <c r="OJ37" s="23"/>
      <c r="OK37" s="23"/>
      <c r="OL37" s="23"/>
      <c r="OM37" s="23"/>
      <c r="ON37" s="23"/>
      <c r="OO37" s="23"/>
      <c r="OP37" s="23"/>
      <c r="OQ37" s="23"/>
      <c r="OR37" s="23"/>
      <c r="OS37" s="23"/>
      <c r="OT37" s="23"/>
      <c r="OU37" s="23"/>
      <c r="OV37" s="23"/>
      <c r="OW37" s="23"/>
      <c r="OX37" s="23"/>
      <c r="OY37" s="23"/>
      <c r="OZ37" s="23"/>
      <c r="PA37" s="23"/>
      <c r="PB37" s="23"/>
      <c r="PC37" s="23"/>
      <c r="PD37" s="23"/>
      <c r="PE37" s="23"/>
      <c r="PF37" s="23"/>
      <c r="PG37" s="23"/>
      <c r="PH37" s="23"/>
      <c r="PI37" s="23"/>
      <c r="PJ37" s="23"/>
      <c r="PK37" s="23"/>
      <c r="PL37" s="23"/>
      <c r="PM37" s="23"/>
      <c r="PN37" s="23"/>
      <c r="PO37" s="23"/>
      <c r="PP37" s="23"/>
      <c r="PQ37" s="23"/>
      <c r="PR37" s="23"/>
      <c r="PS37" s="23"/>
      <c r="PT37" s="23"/>
      <c r="PU37" s="23"/>
      <c r="PV37" s="23"/>
      <c r="PW37" s="23"/>
      <c r="PX37" s="23"/>
      <c r="PY37" s="23"/>
      <c r="PZ37" s="23"/>
      <c r="QA37" s="23"/>
      <c r="QB37" s="23"/>
      <c r="QC37" s="23"/>
      <c r="QD37" s="23"/>
      <c r="QE37" s="23"/>
      <c r="QF37" s="23"/>
      <c r="QG37" s="23"/>
      <c r="QH37" s="23"/>
      <c r="QI37" s="23"/>
      <c r="QJ37" s="23"/>
      <c r="QK37" s="23"/>
      <c r="QL37" s="23"/>
      <c r="QM37" s="23"/>
      <c r="QN37" s="23"/>
      <c r="QO37" s="23"/>
      <c r="QP37" s="23"/>
      <c r="QQ37" s="23"/>
      <c r="QR37" s="23"/>
      <c r="QS37" s="23"/>
      <c r="QT37" s="23"/>
      <c r="QU37" s="23"/>
      <c r="QV37" s="23"/>
      <c r="QW37" s="23"/>
      <c r="QX37" s="23"/>
      <c r="QY37" s="23"/>
      <c r="QZ37" s="23"/>
      <c r="RA37" s="23"/>
      <c r="RB37" s="23"/>
      <c r="RC37" s="23"/>
      <c r="RD37" s="23"/>
      <c r="RE37" s="23"/>
      <c r="RF37" s="23"/>
      <c r="RG37" s="23"/>
      <c r="RH37" s="23"/>
      <c r="RI37" s="23"/>
      <c r="RJ37" s="23"/>
      <c r="RK37" s="23"/>
      <c r="RL37" s="23"/>
      <c r="RM37" s="23"/>
      <c r="RN37" s="23"/>
      <c r="RO37" s="23"/>
      <c r="RP37" s="23"/>
      <c r="RQ37" s="23"/>
      <c r="RR37" s="23"/>
      <c r="RS37" s="23"/>
      <c r="RT37" s="23"/>
      <c r="RU37" s="23"/>
      <c r="RV37" s="23"/>
      <c r="RW37" s="23"/>
      <c r="RX37" s="23"/>
      <c r="RY37" s="23"/>
      <c r="RZ37" s="23"/>
      <c r="SA37" s="23"/>
      <c r="SB37" s="23"/>
      <c r="SC37" s="23"/>
      <c r="SD37" s="23"/>
      <c r="SE37" s="23"/>
      <c r="SF37" s="23"/>
      <c r="SG37" s="23"/>
      <c r="SH37" s="23"/>
      <c r="SI37" s="23"/>
      <c r="SJ37" s="23"/>
      <c r="SK37" s="23"/>
      <c r="SL37" s="23"/>
      <c r="SM37" s="23"/>
      <c r="SN37" s="23"/>
      <c r="SO37" s="23"/>
      <c r="SP37" s="23"/>
      <c r="SQ37" s="23"/>
      <c r="SR37" s="23"/>
      <c r="SS37" s="23"/>
      <c r="ST37" s="23"/>
      <c r="SU37" s="23"/>
      <c r="SV37" s="23"/>
      <c r="SW37" s="23"/>
      <c r="SX37" s="23"/>
      <c r="SY37" s="23"/>
      <c r="SZ37" s="23"/>
      <c r="TA37" s="23"/>
      <c r="TB37" s="23"/>
      <c r="TC37" s="23"/>
      <c r="TD37" s="23"/>
      <c r="TE37" s="23"/>
      <c r="TF37" s="23"/>
      <c r="TG37" s="23"/>
      <c r="TH37" s="23"/>
      <c r="TI37" s="23"/>
      <c r="TJ37" s="23"/>
      <c r="TK37" s="23"/>
      <c r="TL37" s="23"/>
      <c r="TM37" s="23"/>
      <c r="TN37" s="23"/>
      <c r="TO37" s="23"/>
      <c r="TP37" s="23"/>
      <c r="TQ37" s="23"/>
      <c r="TR37" s="23"/>
      <c r="TS37" s="23"/>
      <c r="TT37" s="23"/>
      <c r="TU37" s="23"/>
      <c r="TV37" s="23"/>
    </row>
    <row r="38" spans="1:542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3"/>
      <c r="NI38" s="23"/>
      <c r="NJ38" s="23"/>
      <c r="NK38" s="23"/>
      <c r="NL38" s="23"/>
      <c r="NM38" s="23"/>
      <c r="NN38" s="23"/>
      <c r="NO38" s="23"/>
      <c r="NP38" s="23"/>
      <c r="NQ38" s="23"/>
      <c r="NR38" s="23"/>
      <c r="NS38" s="23"/>
      <c r="NT38" s="23"/>
      <c r="NU38" s="23"/>
      <c r="NV38" s="23"/>
      <c r="NW38" s="23"/>
      <c r="NX38" s="23"/>
      <c r="NY38" s="23"/>
      <c r="NZ38" s="23"/>
      <c r="OA38" s="23"/>
      <c r="OB38" s="23"/>
      <c r="OC38" s="23"/>
      <c r="OD38" s="23"/>
      <c r="OE38" s="23"/>
      <c r="OF38" s="23"/>
      <c r="OG38" s="23"/>
      <c r="OH38" s="23"/>
      <c r="OI38" s="23"/>
      <c r="OJ38" s="23"/>
      <c r="OK38" s="23"/>
      <c r="OL38" s="23"/>
      <c r="OM38" s="23"/>
      <c r="ON38" s="23"/>
      <c r="OO38" s="23"/>
      <c r="OP38" s="23"/>
      <c r="OQ38" s="23"/>
      <c r="OR38" s="23"/>
      <c r="OS38" s="23"/>
      <c r="OT38" s="23"/>
      <c r="OU38" s="23"/>
      <c r="OV38" s="23"/>
      <c r="OW38" s="23"/>
      <c r="OX38" s="23"/>
      <c r="OY38" s="23"/>
      <c r="OZ38" s="23"/>
      <c r="PA38" s="23"/>
      <c r="PB38" s="23"/>
      <c r="PC38" s="23"/>
      <c r="PD38" s="23"/>
      <c r="PE38" s="23"/>
      <c r="PF38" s="23"/>
      <c r="PG38" s="23"/>
      <c r="PH38" s="23"/>
      <c r="PI38" s="23"/>
      <c r="PJ38" s="23"/>
      <c r="PK38" s="23"/>
      <c r="PL38" s="23"/>
      <c r="PM38" s="23"/>
      <c r="PN38" s="23"/>
      <c r="PO38" s="23"/>
      <c r="PP38" s="23"/>
      <c r="PQ38" s="23"/>
      <c r="PR38" s="23"/>
      <c r="PS38" s="23"/>
      <c r="PT38" s="23"/>
      <c r="PU38" s="23"/>
      <c r="PV38" s="23"/>
      <c r="PW38" s="23"/>
      <c r="PX38" s="23"/>
      <c r="PY38" s="23"/>
      <c r="PZ38" s="23"/>
      <c r="QA38" s="23"/>
      <c r="QB38" s="23"/>
      <c r="QC38" s="23"/>
      <c r="QD38" s="23"/>
      <c r="QE38" s="23"/>
      <c r="QF38" s="23"/>
      <c r="QG38" s="23"/>
      <c r="QH38" s="23"/>
      <c r="QI38" s="23"/>
      <c r="QJ38" s="23"/>
      <c r="QK38" s="23"/>
      <c r="QL38" s="23"/>
      <c r="QM38" s="23"/>
      <c r="QN38" s="23"/>
      <c r="QO38" s="23"/>
      <c r="QP38" s="23"/>
      <c r="QQ38" s="23"/>
      <c r="QR38" s="23"/>
      <c r="QS38" s="23"/>
      <c r="QT38" s="23"/>
      <c r="QU38" s="23"/>
      <c r="QV38" s="23"/>
      <c r="QW38" s="23"/>
      <c r="QX38" s="23"/>
      <c r="QY38" s="23"/>
      <c r="QZ38" s="23"/>
      <c r="RA38" s="23"/>
      <c r="RB38" s="23"/>
      <c r="RC38" s="23"/>
      <c r="RD38" s="23"/>
      <c r="RE38" s="23"/>
      <c r="RF38" s="23"/>
      <c r="RG38" s="23"/>
      <c r="RH38" s="23"/>
      <c r="RI38" s="23"/>
      <c r="RJ38" s="23"/>
      <c r="RK38" s="23"/>
      <c r="RL38" s="23"/>
      <c r="RM38" s="23"/>
      <c r="RN38" s="23"/>
      <c r="RO38" s="23"/>
      <c r="RP38" s="23"/>
      <c r="RQ38" s="23"/>
      <c r="RR38" s="23"/>
      <c r="RS38" s="23"/>
      <c r="RT38" s="23"/>
      <c r="RU38" s="23"/>
      <c r="RV38" s="23"/>
      <c r="RW38" s="23"/>
      <c r="RX38" s="23"/>
      <c r="RY38" s="23"/>
      <c r="RZ38" s="23"/>
      <c r="SA38" s="23"/>
      <c r="SB38" s="23"/>
      <c r="SC38" s="23"/>
      <c r="SD38" s="23"/>
      <c r="SE38" s="23"/>
      <c r="SF38" s="23"/>
      <c r="SG38" s="23"/>
      <c r="SH38" s="23"/>
      <c r="SI38" s="23"/>
      <c r="SJ38" s="23"/>
      <c r="SK38" s="23"/>
      <c r="SL38" s="23"/>
      <c r="SM38" s="23"/>
      <c r="SN38" s="23"/>
      <c r="SO38" s="23"/>
      <c r="SP38" s="23"/>
      <c r="SQ38" s="23"/>
      <c r="SR38" s="23"/>
      <c r="SS38" s="23"/>
      <c r="ST38" s="23"/>
      <c r="SU38" s="23"/>
      <c r="SV38" s="23"/>
      <c r="SW38" s="23"/>
      <c r="SX38" s="23"/>
      <c r="SY38" s="23"/>
      <c r="SZ38" s="23"/>
      <c r="TA38" s="23"/>
      <c r="TB38" s="23"/>
      <c r="TC38" s="23"/>
      <c r="TD38" s="23"/>
      <c r="TE38" s="23"/>
      <c r="TF38" s="23"/>
      <c r="TG38" s="23"/>
      <c r="TH38" s="23"/>
      <c r="TI38" s="23"/>
      <c r="TJ38" s="23"/>
      <c r="TK38" s="23"/>
      <c r="TL38" s="23"/>
      <c r="TM38" s="23"/>
      <c r="TN38" s="23"/>
      <c r="TO38" s="23"/>
      <c r="TP38" s="23"/>
      <c r="TQ38" s="23"/>
      <c r="TR38" s="23"/>
      <c r="TS38" s="23"/>
      <c r="TT38" s="23"/>
      <c r="TU38" s="23"/>
      <c r="TV38" s="23"/>
    </row>
    <row r="39" spans="1:542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70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  <c r="IX39" s="23"/>
      <c r="IY39" s="23"/>
      <c r="IZ39" s="23"/>
      <c r="JA39" s="23"/>
      <c r="JB39" s="23"/>
      <c r="JC39" s="23"/>
      <c r="JD39" s="23"/>
      <c r="JE39" s="23"/>
      <c r="JF39" s="23"/>
      <c r="JG39" s="23"/>
      <c r="JH39" s="23"/>
      <c r="JI39" s="23"/>
      <c r="JJ39" s="23"/>
      <c r="JK39" s="23"/>
      <c r="JL39" s="23"/>
      <c r="JM39" s="23"/>
      <c r="JN39" s="23"/>
      <c r="JO39" s="23"/>
      <c r="JP39" s="23"/>
      <c r="JQ39" s="23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3"/>
      <c r="NI39" s="23"/>
      <c r="NJ39" s="23"/>
      <c r="NK39" s="23"/>
      <c r="NL39" s="23"/>
      <c r="NM39" s="23"/>
      <c r="NN39" s="23"/>
      <c r="NO39" s="23"/>
      <c r="NP39" s="23"/>
      <c r="NQ39" s="23"/>
      <c r="NR39" s="23"/>
      <c r="NS39" s="23"/>
      <c r="NT39" s="23"/>
      <c r="NU39" s="23"/>
      <c r="NV39" s="23"/>
      <c r="NW39" s="23"/>
      <c r="NX39" s="23"/>
      <c r="NY39" s="23"/>
      <c r="NZ39" s="23"/>
      <c r="OA39" s="23"/>
      <c r="OB39" s="23"/>
      <c r="OC39" s="23"/>
      <c r="OD39" s="23"/>
      <c r="OE39" s="23"/>
      <c r="OF39" s="23"/>
      <c r="OG39" s="23"/>
      <c r="OH39" s="23"/>
      <c r="OI39" s="23"/>
      <c r="OJ39" s="23"/>
      <c r="OK39" s="23"/>
      <c r="OL39" s="23"/>
      <c r="OM39" s="23"/>
      <c r="ON39" s="23"/>
      <c r="OO39" s="23"/>
      <c r="OP39" s="23"/>
      <c r="OQ39" s="23"/>
      <c r="OR39" s="23"/>
      <c r="OS39" s="23"/>
      <c r="OT39" s="23"/>
      <c r="OU39" s="23"/>
      <c r="OV39" s="23"/>
      <c r="OW39" s="23"/>
      <c r="OX39" s="23"/>
      <c r="OY39" s="23"/>
      <c r="OZ39" s="23"/>
      <c r="PA39" s="23"/>
      <c r="PB39" s="23"/>
      <c r="PC39" s="23"/>
      <c r="PD39" s="23"/>
      <c r="PE39" s="23"/>
      <c r="PF39" s="23"/>
      <c r="PG39" s="23"/>
      <c r="PH39" s="23"/>
      <c r="PI39" s="23"/>
      <c r="PJ39" s="23"/>
      <c r="PK39" s="23"/>
      <c r="PL39" s="23"/>
      <c r="PM39" s="23"/>
      <c r="PN39" s="23"/>
      <c r="PO39" s="23"/>
      <c r="PP39" s="23"/>
      <c r="PQ39" s="23"/>
      <c r="PR39" s="23"/>
      <c r="PS39" s="23"/>
      <c r="PT39" s="23"/>
      <c r="PU39" s="23"/>
      <c r="PV39" s="23"/>
      <c r="PW39" s="23"/>
      <c r="PX39" s="23"/>
      <c r="PY39" s="23"/>
      <c r="PZ39" s="23"/>
      <c r="QA39" s="23"/>
      <c r="QB39" s="23"/>
      <c r="QC39" s="23"/>
      <c r="QD39" s="23"/>
      <c r="QE39" s="23"/>
      <c r="QF39" s="23"/>
      <c r="QG39" s="23"/>
      <c r="QH39" s="23"/>
      <c r="QI39" s="23"/>
      <c r="QJ39" s="23"/>
      <c r="QK39" s="23"/>
      <c r="QL39" s="23"/>
      <c r="QM39" s="23"/>
      <c r="QN39" s="23"/>
      <c r="QO39" s="23"/>
      <c r="QP39" s="23"/>
      <c r="QQ39" s="23"/>
      <c r="QR39" s="23"/>
      <c r="QS39" s="23"/>
      <c r="QT39" s="23"/>
      <c r="QU39" s="23"/>
      <c r="QV39" s="23"/>
      <c r="QW39" s="23"/>
      <c r="QX39" s="23"/>
      <c r="QY39" s="23"/>
      <c r="QZ39" s="23"/>
      <c r="RA39" s="23"/>
      <c r="RB39" s="23"/>
      <c r="RC39" s="23"/>
      <c r="RD39" s="23"/>
      <c r="RE39" s="23"/>
      <c r="RF39" s="23"/>
      <c r="RG39" s="23"/>
      <c r="RH39" s="23"/>
      <c r="RI39" s="23"/>
      <c r="RJ39" s="23"/>
      <c r="RK39" s="23"/>
      <c r="RL39" s="23"/>
      <c r="RM39" s="23"/>
      <c r="RN39" s="23"/>
      <c r="RO39" s="23"/>
      <c r="RP39" s="23"/>
      <c r="RQ39" s="23"/>
      <c r="RR39" s="23"/>
      <c r="RS39" s="23"/>
      <c r="RT39" s="23"/>
      <c r="RU39" s="23"/>
      <c r="RV39" s="23"/>
      <c r="RW39" s="23"/>
      <c r="RX39" s="23"/>
      <c r="RY39" s="23"/>
      <c r="RZ39" s="23"/>
      <c r="SA39" s="23"/>
      <c r="SB39" s="23"/>
      <c r="SC39" s="23"/>
      <c r="SD39" s="23"/>
      <c r="SE39" s="23"/>
      <c r="SF39" s="23"/>
      <c r="SG39" s="23"/>
      <c r="SH39" s="23"/>
      <c r="SI39" s="23"/>
      <c r="SJ39" s="23"/>
      <c r="SK39" s="23"/>
      <c r="SL39" s="23"/>
      <c r="SM39" s="23"/>
      <c r="SN39" s="23"/>
      <c r="SO39" s="23"/>
      <c r="SP39" s="23"/>
      <c r="SQ39" s="23"/>
      <c r="SR39" s="23"/>
      <c r="SS39" s="23"/>
      <c r="ST39" s="23"/>
      <c r="SU39" s="23"/>
      <c r="SV39" s="23"/>
      <c r="SW39" s="23"/>
      <c r="SX39" s="23"/>
      <c r="SY39" s="23"/>
      <c r="SZ39" s="23"/>
      <c r="TA39" s="23"/>
      <c r="TB39" s="23"/>
      <c r="TC39" s="23"/>
      <c r="TD39" s="23"/>
      <c r="TE39" s="23"/>
      <c r="TF39" s="23"/>
      <c r="TG39" s="23"/>
      <c r="TH39" s="23"/>
      <c r="TI39" s="23"/>
      <c r="TJ39" s="23"/>
      <c r="TK39" s="23"/>
      <c r="TL39" s="23"/>
      <c r="TM39" s="23"/>
      <c r="TN39" s="23"/>
      <c r="TO39" s="23"/>
      <c r="TP39" s="23"/>
      <c r="TQ39" s="23"/>
      <c r="TR39" s="23"/>
      <c r="TS39" s="23"/>
      <c r="TT39" s="23"/>
      <c r="TU39" s="23"/>
      <c r="TV39" s="23"/>
    </row>
    <row r="40" spans="1:542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  <c r="IX40" s="23"/>
      <c r="IY40" s="23"/>
      <c r="IZ40" s="23"/>
      <c r="JA40" s="23"/>
      <c r="JB40" s="23"/>
      <c r="JC40" s="23"/>
      <c r="JD40" s="23"/>
      <c r="JE40" s="23"/>
      <c r="JF40" s="23"/>
      <c r="JG40" s="23"/>
      <c r="JH40" s="23"/>
      <c r="JI40" s="23"/>
      <c r="JJ40" s="23"/>
      <c r="JK40" s="23"/>
      <c r="JL40" s="23"/>
      <c r="JM40" s="23"/>
      <c r="JN40" s="23"/>
      <c r="JO40" s="23"/>
      <c r="JP40" s="23"/>
      <c r="JQ40" s="23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3"/>
      <c r="NI40" s="23"/>
      <c r="NJ40" s="23"/>
      <c r="NK40" s="23"/>
      <c r="NL40" s="23"/>
      <c r="NM40" s="23"/>
      <c r="NN40" s="23"/>
      <c r="NO40" s="23"/>
      <c r="NP40" s="23"/>
      <c r="NQ40" s="23"/>
      <c r="NR40" s="23"/>
      <c r="NS40" s="23"/>
      <c r="NT40" s="23"/>
      <c r="NU40" s="23"/>
      <c r="NV40" s="23"/>
      <c r="NW40" s="23"/>
      <c r="NX40" s="23"/>
      <c r="NY40" s="23"/>
      <c r="NZ40" s="23"/>
      <c r="OA40" s="23"/>
      <c r="OB40" s="23"/>
      <c r="OC40" s="23"/>
      <c r="OD40" s="23"/>
      <c r="OE40" s="23"/>
      <c r="OF40" s="23"/>
      <c r="OG40" s="23"/>
      <c r="OH40" s="23"/>
      <c r="OI40" s="23"/>
      <c r="OJ40" s="23"/>
      <c r="OK40" s="23"/>
      <c r="OL40" s="23"/>
      <c r="OM40" s="23"/>
      <c r="ON40" s="23"/>
      <c r="OO40" s="23"/>
      <c r="OP40" s="23"/>
      <c r="OQ40" s="23"/>
      <c r="OR40" s="23"/>
      <c r="OS40" s="23"/>
      <c r="OT40" s="23"/>
      <c r="OU40" s="23"/>
      <c r="OV40" s="23"/>
      <c r="OW40" s="23"/>
      <c r="OX40" s="23"/>
      <c r="OY40" s="23"/>
      <c r="OZ40" s="23"/>
      <c r="PA40" s="23"/>
      <c r="PB40" s="23"/>
      <c r="PC40" s="23"/>
      <c r="PD40" s="23"/>
      <c r="PE40" s="23"/>
      <c r="PF40" s="23"/>
      <c r="PG40" s="23"/>
      <c r="PH40" s="23"/>
      <c r="PI40" s="23"/>
      <c r="PJ40" s="23"/>
      <c r="PK40" s="23"/>
      <c r="PL40" s="23"/>
      <c r="PM40" s="23"/>
      <c r="PN40" s="23"/>
      <c r="PO40" s="23"/>
      <c r="PP40" s="23"/>
      <c r="PQ40" s="23"/>
      <c r="PR40" s="23"/>
      <c r="PS40" s="23"/>
      <c r="PT40" s="23"/>
      <c r="PU40" s="23"/>
      <c r="PV40" s="23"/>
      <c r="PW40" s="23"/>
      <c r="PX40" s="23"/>
      <c r="PY40" s="23"/>
      <c r="PZ40" s="23"/>
      <c r="QA40" s="23"/>
      <c r="QB40" s="23"/>
      <c r="QC40" s="23"/>
      <c r="QD40" s="23"/>
      <c r="QE40" s="23"/>
      <c r="QF40" s="23"/>
      <c r="QG40" s="23"/>
      <c r="QH40" s="23"/>
      <c r="QI40" s="23"/>
      <c r="QJ40" s="23"/>
      <c r="QK40" s="23"/>
      <c r="QL40" s="23"/>
      <c r="QM40" s="23"/>
      <c r="QN40" s="23"/>
      <c r="QO40" s="23"/>
      <c r="QP40" s="23"/>
      <c r="QQ40" s="23"/>
      <c r="QR40" s="23"/>
      <c r="QS40" s="23"/>
      <c r="QT40" s="23"/>
      <c r="QU40" s="23"/>
      <c r="QV40" s="23"/>
      <c r="QW40" s="23"/>
      <c r="QX40" s="23"/>
      <c r="QY40" s="23"/>
      <c r="QZ40" s="23"/>
      <c r="RA40" s="23"/>
      <c r="RB40" s="23"/>
      <c r="RC40" s="23"/>
      <c r="RD40" s="23"/>
      <c r="RE40" s="23"/>
      <c r="RF40" s="23"/>
      <c r="RG40" s="23"/>
      <c r="RH40" s="23"/>
      <c r="RI40" s="23"/>
      <c r="RJ40" s="23"/>
      <c r="RK40" s="23"/>
      <c r="RL40" s="23"/>
      <c r="RM40" s="23"/>
      <c r="RN40" s="23"/>
      <c r="RO40" s="23"/>
      <c r="RP40" s="23"/>
      <c r="RQ40" s="23"/>
      <c r="RR40" s="23"/>
      <c r="RS40" s="23"/>
      <c r="RT40" s="23"/>
      <c r="RU40" s="23"/>
      <c r="RV40" s="23"/>
      <c r="RW40" s="23"/>
      <c r="RX40" s="23"/>
      <c r="RY40" s="23"/>
      <c r="RZ40" s="23"/>
      <c r="SA40" s="23"/>
      <c r="SB40" s="23"/>
      <c r="SC40" s="23"/>
      <c r="SD40" s="23"/>
      <c r="SE40" s="23"/>
      <c r="SF40" s="23"/>
      <c r="SG40" s="23"/>
      <c r="SH40" s="23"/>
      <c r="SI40" s="23"/>
      <c r="SJ40" s="23"/>
      <c r="SK40" s="23"/>
      <c r="SL40" s="23"/>
      <c r="SM40" s="23"/>
      <c r="SN40" s="23"/>
      <c r="SO40" s="23"/>
      <c r="SP40" s="23"/>
      <c r="SQ40" s="23"/>
      <c r="SR40" s="23"/>
      <c r="SS40" s="23"/>
      <c r="ST40" s="23"/>
      <c r="SU40" s="23"/>
      <c r="SV40" s="23"/>
      <c r="SW40" s="23"/>
      <c r="SX40" s="23"/>
      <c r="SY40" s="23"/>
      <c r="SZ40" s="23"/>
      <c r="TA40" s="23"/>
      <c r="TB40" s="23"/>
      <c r="TC40" s="23"/>
      <c r="TD40" s="23"/>
      <c r="TE40" s="23"/>
      <c r="TF40" s="23"/>
      <c r="TG40" s="23"/>
      <c r="TH40" s="23"/>
      <c r="TI40" s="23"/>
      <c r="TJ40" s="23"/>
      <c r="TK40" s="23"/>
      <c r="TL40" s="23"/>
      <c r="TM40" s="23"/>
      <c r="TN40" s="23"/>
      <c r="TO40" s="23"/>
      <c r="TP40" s="23"/>
      <c r="TQ40" s="23"/>
      <c r="TR40" s="23"/>
      <c r="TS40" s="23"/>
      <c r="TT40" s="23"/>
      <c r="TU40" s="23"/>
      <c r="TV40" s="23"/>
    </row>
    <row r="41" spans="1:542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  <c r="IX41" s="23"/>
      <c r="IY41" s="23"/>
      <c r="IZ41" s="23"/>
      <c r="JA41" s="23"/>
      <c r="JB41" s="23"/>
      <c r="JC41" s="23"/>
      <c r="JD41" s="23"/>
      <c r="JE41" s="23"/>
      <c r="JF41" s="23"/>
      <c r="JG41" s="23"/>
      <c r="JH41" s="23"/>
      <c r="JI41" s="23"/>
      <c r="JJ41" s="23"/>
      <c r="JK41" s="23"/>
      <c r="JL41" s="23"/>
      <c r="JM41" s="23"/>
      <c r="JN41" s="23"/>
      <c r="JO41" s="23"/>
      <c r="JP41" s="23"/>
      <c r="JQ41" s="23"/>
      <c r="JR41" s="23"/>
      <c r="JS41" s="23"/>
      <c r="JT41" s="23"/>
      <c r="JU41" s="23"/>
      <c r="JV41" s="23"/>
      <c r="JW41" s="23"/>
      <c r="JX41" s="23"/>
      <c r="JY41" s="23"/>
      <c r="JZ41" s="23"/>
      <c r="KA41" s="23"/>
      <c r="KB41" s="23"/>
      <c r="KC41" s="23"/>
      <c r="KD41" s="23"/>
      <c r="KE41" s="23"/>
      <c r="KF41" s="23"/>
      <c r="KG41" s="23"/>
      <c r="KH41" s="23"/>
      <c r="KI41" s="23"/>
      <c r="KJ41" s="23"/>
      <c r="KK41" s="23"/>
      <c r="KL41" s="23"/>
      <c r="KM41" s="23"/>
      <c r="KN41" s="23"/>
      <c r="KO41" s="23"/>
      <c r="KP41" s="23"/>
      <c r="KQ41" s="23"/>
      <c r="KR41" s="23"/>
      <c r="KS41" s="23"/>
      <c r="KT41" s="23"/>
      <c r="KU41" s="23"/>
      <c r="KV41" s="23"/>
      <c r="KW41" s="23"/>
      <c r="KX41" s="23"/>
      <c r="KY41" s="23"/>
      <c r="KZ41" s="23"/>
      <c r="LA41" s="23"/>
      <c r="LB41" s="23"/>
      <c r="LC41" s="23"/>
      <c r="LD41" s="23"/>
      <c r="LE41" s="23"/>
      <c r="LF41" s="23"/>
      <c r="LG41" s="23"/>
      <c r="LH41" s="23"/>
      <c r="LI41" s="23"/>
      <c r="LJ41" s="23"/>
      <c r="LK41" s="23"/>
      <c r="LL41" s="23"/>
      <c r="LM41" s="23"/>
      <c r="LN41" s="23"/>
      <c r="LO41" s="23"/>
      <c r="LP41" s="23"/>
      <c r="LQ41" s="23"/>
      <c r="LR41" s="23"/>
      <c r="LS41" s="23"/>
      <c r="LT41" s="23"/>
      <c r="LU41" s="23"/>
      <c r="LV41" s="23"/>
      <c r="LW41" s="23"/>
      <c r="LX41" s="23"/>
      <c r="LY41" s="23"/>
      <c r="LZ41" s="23"/>
      <c r="MA41" s="23"/>
      <c r="MB41" s="23"/>
      <c r="MC41" s="23"/>
      <c r="MD41" s="23"/>
      <c r="ME41" s="23"/>
      <c r="MF41" s="23"/>
      <c r="MG41" s="23"/>
      <c r="MH41" s="23"/>
      <c r="MI41" s="23"/>
      <c r="MJ41" s="23"/>
      <c r="MK41" s="23"/>
      <c r="ML41" s="23"/>
      <c r="MM41" s="23"/>
      <c r="MN41" s="23"/>
      <c r="MO41" s="23"/>
      <c r="MP41" s="23"/>
      <c r="MQ41" s="23"/>
      <c r="MR41" s="23"/>
      <c r="MS41" s="23"/>
      <c r="MT41" s="23"/>
      <c r="MU41" s="23"/>
      <c r="MV41" s="23"/>
      <c r="MW41" s="23"/>
      <c r="MX41" s="23"/>
      <c r="MY41" s="23"/>
      <c r="MZ41" s="23"/>
      <c r="NA41" s="23"/>
      <c r="NB41" s="23"/>
      <c r="NC41" s="23"/>
      <c r="ND41" s="23"/>
      <c r="NE41" s="23"/>
      <c r="NF41" s="23"/>
      <c r="NG41" s="23"/>
      <c r="NH41" s="23"/>
      <c r="NI41" s="23"/>
      <c r="NJ41" s="23"/>
      <c r="NK41" s="23"/>
      <c r="NL41" s="23"/>
      <c r="NM41" s="23"/>
      <c r="NN41" s="23"/>
      <c r="NO41" s="23"/>
      <c r="NP41" s="23"/>
      <c r="NQ41" s="23"/>
      <c r="NR41" s="23"/>
      <c r="NS41" s="23"/>
      <c r="NT41" s="23"/>
      <c r="NU41" s="23"/>
      <c r="NV41" s="23"/>
      <c r="NW41" s="23"/>
      <c r="NX41" s="23"/>
      <c r="NY41" s="23"/>
      <c r="NZ41" s="23"/>
      <c r="OA41" s="23"/>
      <c r="OB41" s="23"/>
      <c r="OC41" s="23"/>
      <c r="OD41" s="23"/>
      <c r="OE41" s="23"/>
      <c r="OF41" s="23"/>
      <c r="OG41" s="23"/>
      <c r="OH41" s="23"/>
      <c r="OI41" s="23"/>
      <c r="OJ41" s="23"/>
      <c r="OK41" s="23"/>
      <c r="OL41" s="23"/>
      <c r="OM41" s="23"/>
      <c r="ON41" s="23"/>
      <c r="OO41" s="23"/>
      <c r="OP41" s="23"/>
      <c r="OQ41" s="23"/>
      <c r="OR41" s="23"/>
      <c r="OS41" s="23"/>
      <c r="OT41" s="23"/>
      <c r="OU41" s="23"/>
      <c r="OV41" s="23"/>
      <c r="OW41" s="23"/>
      <c r="OX41" s="23"/>
      <c r="OY41" s="23"/>
      <c r="OZ41" s="23"/>
      <c r="PA41" s="23"/>
      <c r="PB41" s="23"/>
      <c r="PC41" s="23"/>
      <c r="PD41" s="23"/>
      <c r="PE41" s="23"/>
      <c r="PF41" s="23"/>
      <c r="PG41" s="23"/>
      <c r="PH41" s="23"/>
      <c r="PI41" s="23"/>
      <c r="PJ41" s="23"/>
      <c r="PK41" s="23"/>
      <c r="PL41" s="23"/>
      <c r="PM41" s="23"/>
      <c r="PN41" s="23"/>
      <c r="PO41" s="23"/>
      <c r="PP41" s="23"/>
      <c r="PQ41" s="23"/>
      <c r="PR41" s="23"/>
      <c r="PS41" s="23"/>
      <c r="PT41" s="23"/>
      <c r="PU41" s="23"/>
      <c r="PV41" s="23"/>
      <c r="PW41" s="23"/>
      <c r="PX41" s="23"/>
      <c r="PY41" s="23"/>
      <c r="PZ41" s="23"/>
      <c r="QA41" s="23"/>
      <c r="QB41" s="23"/>
      <c r="QC41" s="23"/>
      <c r="QD41" s="23"/>
      <c r="QE41" s="23"/>
      <c r="QF41" s="23"/>
      <c r="QG41" s="23"/>
      <c r="QH41" s="23"/>
      <c r="QI41" s="23"/>
      <c r="QJ41" s="23"/>
      <c r="QK41" s="23"/>
      <c r="QL41" s="23"/>
      <c r="QM41" s="23"/>
      <c r="QN41" s="23"/>
      <c r="QO41" s="23"/>
      <c r="QP41" s="23"/>
      <c r="QQ41" s="23"/>
      <c r="QR41" s="23"/>
      <c r="QS41" s="23"/>
      <c r="QT41" s="23"/>
      <c r="QU41" s="23"/>
      <c r="QV41" s="23"/>
      <c r="QW41" s="23"/>
      <c r="QX41" s="23"/>
      <c r="QY41" s="23"/>
      <c r="QZ41" s="23"/>
      <c r="RA41" s="23"/>
      <c r="RB41" s="23"/>
      <c r="RC41" s="23"/>
      <c r="RD41" s="23"/>
      <c r="RE41" s="23"/>
      <c r="RF41" s="23"/>
      <c r="RG41" s="23"/>
      <c r="RH41" s="23"/>
      <c r="RI41" s="23"/>
      <c r="RJ41" s="23"/>
      <c r="RK41" s="23"/>
      <c r="RL41" s="23"/>
      <c r="RM41" s="23"/>
      <c r="RN41" s="23"/>
      <c r="RO41" s="23"/>
      <c r="RP41" s="23"/>
      <c r="RQ41" s="23"/>
      <c r="RR41" s="23"/>
      <c r="RS41" s="23"/>
      <c r="RT41" s="23"/>
      <c r="RU41" s="23"/>
      <c r="RV41" s="23"/>
      <c r="RW41" s="23"/>
      <c r="RX41" s="23"/>
      <c r="RY41" s="23"/>
      <c r="RZ41" s="23"/>
      <c r="SA41" s="23"/>
      <c r="SB41" s="23"/>
      <c r="SC41" s="23"/>
      <c r="SD41" s="23"/>
      <c r="SE41" s="23"/>
      <c r="SF41" s="23"/>
      <c r="SG41" s="23"/>
      <c r="SH41" s="23"/>
      <c r="SI41" s="23"/>
      <c r="SJ41" s="23"/>
      <c r="SK41" s="23"/>
      <c r="SL41" s="23"/>
      <c r="SM41" s="23"/>
      <c r="SN41" s="23"/>
      <c r="SO41" s="23"/>
      <c r="SP41" s="23"/>
      <c r="SQ41" s="23"/>
      <c r="SR41" s="23"/>
      <c r="SS41" s="23"/>
      <c r="ST41" s="23"/>
      <c r="SU41" s="23"/>
      <c r="SV41" s="23"/>
      <c r="SW41" s="23"/>
      <c r="SX41" s="23"/>
      <c r="SY41" s="23"/>
      <c r="SZ41" s="23"/>
      <c r="TA41" s="23"/>
      <c r="TB41" s="23"/>
      <c r="TC41" s="23"/>
      <c r="TD41" s="23"/>
      <c r="TE41" s="23"/>
      <c r="TF41" s="23"/>
      <c r="TG41" s="23"/>
      <c r="TH41" s="23"/>
      <c r="TI41" s="23"/>
      <c r="TJ41" s="23"/>
      <c r="TK41" s="23"/>
      <c r="TL41" s="23"/>
      <c r="TM41" s="23"/>
      <c r="TN41" s="23"/>
      <c r="TO41" s="23"/>
      <c r="TP41" s="23"/>
      <c r="TQ41" s="23"/>
      <c r="TR41" s="23"/>
      <c r="TS41" s="23"/>
      <c r="TT41" s="23"/>
      <c r="TU41" s="23"/>
      <c r="TV41" s="23"/>
    </row>
    <row r="42" spans="1:542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  <c r="IX42" s="23"/>
      <c r="IY42" s="23"/>
      <c r="IZ42" s="23"/>
      <c r="JA42" s="23"/>
      <c r="JB42" s="23"/>
      <c r="JC42" s="23"/>
      <c r="JD42" s="23"/>
      <c r="JE42" s="23"/>
      <c r="JF42" s="23"/>
      <c r="JG42" s="23"/>
      <c r="JH42" s="23"/>
      <c r="JI42" s="23"/>
      <c r="JJ42" s="23"/>
      <c r="JK42" s="23"/>
      <c r="JL42" s="23"/>
      <c r="JM42" s="23"/>
      <c r="JN42" s="23"/>
      <c r="JO42" s="23"/>
      <c r="JP42" s="23"/>
      <c r="JQ42" s="23"/>
      <c r="JR42" s="23"/>
      <c r="JS42" s="23"/>
      <c r="JT42" s="23"/>
      <c r="JU42" s="23"/>
      <c r="JV42" s="23"/>
      <c r="JW42" s="23"/>
      <c r="JX42" s="23"/>
      <c r="JY42" s="23"/>
      <c r="JZ42" s="23"/>
      <c r="KA42" s="23"/>
      <c r="KB42" s="23"/>
      <c r="KC42" s="23"/>
      <c r="KD42" s="23"/>
      <c r="KE42" s="23"/>
      <c r="KF42" s="23"/>
      <c r="KG42" s="23"/>
      <c r="KH42" s="23"/>
      <c r="KI42" s="23"/>
      <c r="KJ42" s="23"/>
      <c r="KK42" s="23"/>
      <c r="KL42" s="23"/>
      <c r="KM42" s="23"/>
      <c r="KN42" s="23"/>
      <c r="KO42" s="23"/>
      <c r="KP42" s="23"/>
      <c r="KQ42" s="23"/>
      <c r="KR42" s="23"/>
      <c r="KS42" s="23"/>
      <c r="KT42" s="23"/>
      <c r="KU42" s="23"/>
      <c r="KV42" s="23"/>
      <c r="KW42" s="23"/>
      <c r="KX42" s="23"/>
      <c r="KY42" s="23"/>
      <c r="KZ42" s="23"/>
      <c r="LA42" s="23"/>
      <c r="LB42" s="23"/>
      <c r="LC42" s="23"/>
      <c r="LD42" s="23"/>
      <c r="LE42" s="23"/>
      <c r="LF42" s="23"/>
      <c r="LG42" s="23"/>
      <c r="LH42" s="23"/>
      <c r="LI42" s="23"/>
      <c r="LJ42" s="23"/>
      <c r="LK42" s="23"/>
      <c r="LL42" s="23"/>
      <c r="LM42" s="23"/>
      <c r="LN42" s="23"/>
      <c r="LO42" s="23"/>
      <c r="LP42" s="23"/>
      <c r="LQ42" s="23"/>
      <c r="LR42" s="23"/>
      <c r="LS42" s="23"/>
      <c r="LT42" s="23"/>
      <c r="LU42" s="23"/>
      <c r="LV42" s="23"/>
      <c r="LW42" s="23"/>
      <c r="LX42" s="23"/>
      <c r="LY42" s="23"/>
      <c r="LZ42" s="23"/>
      <c r="MA42" s="23"/>
      <c r="MB42" s="23"/>
      <c r="MC42" s="23"/>
      <c r="MD42" s="23"/>
      <c r="ME42" s="23"/>
      <c r="MF42" s="23"/>
      <c r="MG42" s="23"/>
      <c r="MH42" s="23"/>
      <c r="MI42" s="23"/>
      <c r="MJ42" s="23"/>
      <c r="MK42" s="23"/>
      <c r="ML42" s="23"/>
      <c r="MM42" s="23"/>
      <c r="MN42" s="23"/>
      <c r="MO42" s="23"/>
      <c r="MP42" s="23"/>
      <c r="MQ42" s="23"/>
      <c r="MR42" s="23"/>
      <c r="MS42" s="23"/>
      <c r="MT42" s="23"/>
      <c r="MU42" s="23"/>
      <c r="MV42" s="23"/>
      <c r="MW42" s="23"/>
      <c r="MX42" s="23"/>
      <c r="MY42" s="23"/>
      <c r="MZ42" s="23"/>
      <c r="NA42" s="23"/>
      <c r="NB42" s="23"/>
      <c r="NC42" s="23"/>
      <c r="ND42" s="23"/>
      <c r="NE42" s="23"/>
      <c r="NF42" s="23"/>
      <c r="NG42" s="23"/>
      <c r="NH42" s="23"/>
      <c r="NI42" s="23"/>
      <c r="NJ42" s="23"/>
      <c r="NK42" s="23"/>
      <c r="NL42" s="23"/>
      <c r="NM42" s="23"/>
      <c r="NN42" s="23"/>
      <c r="NO42" s="23"/>
      <c r="NP42" s="23"/>
      <c r="NQ42" s="23"/>
      <c r="NR42" s="23"/>
      <c r="NS42" s="23"/>
      <c r="NT42" s="23"/>
      <c r="NU42" s="23"/>
      <c r="NV42" s="23"/>
      <c r="NW42" s="23"/>
      <c r="NX42" s="23"/>
      <c r="NY42" s="23"/>
      <c r="NZ42" s="23"/>
      <c r="OA42" s="23"/>
      <c r="OB42" s="23"/>
      <c r="OC42" s="23"/>
      <c r="OD42" s="23"/>
      <c r="OE42" s="23"/>
      <c r="OF42" s="23"/>
      <c r="OG42" s="23"/>
      <c r="OH42" s="23"/>
      <c r="OI42" s="23"/>
      <c r="OJ42" s="23"/>
      <c r="OK42" s="23"/>
      <c r="OL42" s="23"/>
      <c r="OM42" s="23"/>
      <c r="ON42" s="23"/>
      <c r="OO42" s="23"/>
      <c r="OP42" s="23"/>
      <c r="OQ42" s="23"/>
      <c r="OR42" s="23"/>
      <c r="OS42" s="23"/>
      <c r="OT42" s="23"/>
      <c r="OU42" s="23"/>
      <c r="OV42" s="23"/>
      <c r="OW42" s="23"/>
      <c r="OX42" s="23"/>
      <c r="OY42" s="23"/>
      <c r="OZ42" s="23"/>
      <c r="PA42" s="23"/>
      <c r="PB42" s="23"/>
      <c r="PC42" s="23"/>
      <c r="PD42" s="23"/>
      <c r="PE42" s="23"/>
      <c r="PF42" s="23"/>
      <c r="PG42" s="23"/>
      <c r="PH42" s="23"/>
      <c r="PI42" s="23"/>
      <c r="PJ42" s="23"/>
      <c r="PK42" s="23"/>
      <c r="PL42" s="23"/>
      <c r="PM42" s="23"/>
      <c r="PN42" s="23"/>
      <c r="PO42" s="23"/>
      <c r="PP42" s="23"/>
      <c r="PQ42" s="23"/>
      <c r="PR42" s="23"/>
      <c r="PS42" s="23"/>
      <c r="PT42" s="23"/>
      <c r="PU42" s="23"/>
      <c r="PV42" s="23"/>
      <c r="PW42" s="23"/>
      <c r="PX42" s="23"/>
      <c r="PY42" s="23"/>
      <c r="PZ42" s="23"/>
      <c r="QA42" s="23"/>
      <c r="QB42" s="23"/>
      <c r="QC42" s="23"/>
      <c r="QD42" s="23"/>
      <c r="QE42" s="23"/>
      <c r="QF42" s="23"/>
      <c r="QG42" s="23"/>
      <c r="QH42" s="23"/>
      <c r="QI42" s="23"/>
      <c r="QJ42" s="23"/>
      <c r="QK42" s="23"/>
      <c r="QL42" s="23"/>
      <c r="QM42" s="23"/>
      <c r="QN42" s="23"/>
      <c r="QO42" s="23"/>
      <c r="QP42" s="23"/>
      <c r="QQ42" s="23"/>
      <c r="QR42" s="23"/>
      <c r="QS42" s="23"/>
      <c r="QT42" s="23"/>
      <c r="QU42" s="23"/>
      <c r="QV42" s="23"/>
      <c r="QW42" s="23"/>
      <c r="QX42" s="23"/>
      <c r="QY42" s="23"/>
      <c r="QZ42" s="23"/>
      <c r="RA42" s="23"/>
      <c r="RB42" s="23"/>
      <c r="RC42" s="23"/>
      <c r="RD42" s="23"/>
      <c r="RE42" s="23"/>
      <c r="RF42" s="23"/>
      <c r="RG42" s="23"/>
      <c r="RH42" s="23"/>
      <c r="RI42" s="23"/>
      <c r="RJ42" s="23"/>
      <c r="RK42" s="23"/>
      <c r="RL42" s="23"/>
      <c r="RM42" s="23"/>
      <c r="RN42" s="23"/>
      <c r="RO42" s="23"/>
      <c r="RP42" s="23"/>
      <c r="RQ42" s="23"/>
      <c r="RR42" s="23"/>
      <c r="RS42" s="23"/>
      <c r="RT42" s="23"/>
      <c r="RU42" s="23"/>
      <c r="RV42" s="23"/>
      <c r="RW42" s="23"/>
      <c r="RX42" s="23"/>
      <c r="RY42" s="23"/>
      <c r="RZ42" s="23"/>
      <c r="SA42" s="23"/>
      <c r="SB42" s="23"/>
      <c r="SC42" s="23"/>
      <c r="SD42" s="23"/>
      <c r="SE42" s="23"/>
      <c r="SF42" s="23"/>
      <c r="SG42" s="23"/>
      <c r="SH42" s="23"/>
      <c r="SI42" s="23"/>
      <c r="SJ42" s="23"/>
      <c r="SK42" s="23"/>
      <c r="SL42" s="23"/>
      <c r="SM42" s="23"/>
      <c r="SN42" s="23"/>
      <c r="SO42" s="23"/>
      <c r="SP42" s="23"/>
      <c r="SQ42" s="23"/>
      <c r="SR42" s="23"/>
      <c r="SS42" s="23"/>
      <c r="ST42" s="23"/>
      <c r="SU42" s="23"/>
      <c r="SV42" s="23"/>
      <c r="SW42" s="23"/>
      <c r="SX42" s="23"/>
      <c r="SY42" s="23"/>
      <c r="SZ42" s="23"/>
      <c r="TA42" s="23"/>
      <c r="TB42" s="23"/>
      <c r="TC42" s="23"/>
      <c r="TD42" s="23"/>
      <c r="TE42" s="23"/>
      <c r="TF42" s="23"/>
      <c r="TG42" s="23"/>
      <c r="TH42" s="23"/>
      <c r="TI42" s="23"/>
      <c r="TJ42" s="23"/>
      <c r="TK42" s="23"/>
      <c r="TL42" s="23"/>
      <c r="TM42" s="23"/>
      <c r="TN42" s="23"/>
      <c r="TO42" s="23"/>
      <c r="TP42" s="23"/>
      <c r="TQ42" s="23"/>
      <c r="TR42" s="23"/>
      <c r="TS42" s="23"/>
      <c r="TT42" s="23"/>
      <c r="TU42" s="23"/>
      <c r="TV42" s="23"/>
    </row>
    <row r="43" spans="1:542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  <c r="IX43" s="23"/>
      <c r="IY43" s="23"/>
      <c r="IZ43" s="23"/>
      <c r="JA43" s="23"/>
      <c r="JB43" s="23"/>
      <c r="JC43" s="23"/>
      <c r="JD43" s="23"/>
      <c r="JE43" s="23"/>
      <c r="JF43" s="23"/>
      <c r="JG43" s="23"/>
      <c r="JH43" s="23"/>
      <c r="JI43" s="23"/>
      <c r="JJ43" s="23"/>
      <c r="JK43" s="23"/>
      <c r="JL43" s="23"/>
      <c r="JM43" s="23"/>
      <c r="JN43" s="23"/>
      <c r="JO43" s="23"/>
      <c r="JP43" s="23"/>
      <c r="JQ43" s="23"/>
      <c r="JR43" s="23"/>
      <c r="JS43" s="23"/>
      <c r="JT43" s="23"/>
      <c r="JU43" s="23"/>
      <c r="JV43" s="23"/>
      <c r="JW43" s="23"/>
      <c r="JX43" s="23"/>
      <c r="JY43" s="23"/>
      <c r="JZ43" s="23"/>
      <c r="KA43" s="23"/>
      <c r="KB43" s="23"/>
      <c r="KC43" s="23"/>
      <c r="KD43" s="23"/>
      <c r="KE43" s="23"/>
      <c r="KF43" s="23"/>
      <c r="KG43" s="23"/>
      <c r="KH43" s="23"/>
      <c r="KI43" s="23"/>
      <c r="KJ43" s="23"/>
      <c r="KK43" s="23"/>
      <c r="KL43" s="23"/>
      <c r="KM43" s="23"/>
      <c r="KN43" s="23"/>
      <c r="KO43" s="23"/>
      <c r="KP43" s="23"/>
      <c r="KQ43" s="23"/>
      <c r="KR43" s="23"/>
      <c r="KS43" s="23"/>
      <c r="KT43" s="23"/>
      <c r="KU43" s="23"/>
      <c r="KV43" s="23"/>
      <c r="KW43" s="23"/>
      <c r="KX43" s="23"/>
      <c r="KY43" s="23"/>
      <c r="KZ43" s="23"/>
      <c r="LA43" s="23"/>
      <c r="LB43" s="23"/>
      <c r="LC43" s="23"/>
      <c r="LD43" s="23"/>
      <c r="LE43" s="23"/>
      <c r="LF43" s="23"/>
      <c r="LG43" s="23"/>
      <c r="LH43" s="23"/>
      <c r="LI43" s="23"/>
      <c r="LJ43" s="23"/>
      <c r="LK43" s="23"/>
      <c r="LL43" s="23"/>
      <c r="LM43" s="23"/>
      <c r="LN43" s="23"/>
      <c r="LO43" s="23"/>
      <c r="LP43" s="23"/>
      <c r="LQ43" s="23"/>
      <c r="LR43" s="23"/>
      <c r="LS43" s="23"/>
      <c r="LT43" s="23"/>
      <c r="LU43" s="23"/>
      <c r="LV43" s="23"/>
      <c r="LW43" s="23"/>
      <c r="LX43" s="23"/>
      <c r="LY43" s="23"/>
      <c r="LZ43" s="23"/>
      <c r="MA43" s="23"/>
      <c r="MB43" s="23"/>
      <c r="MC43" s="23"/>
      <c r="MD43" s="23"/>
      <c r="ME43" s="23"/>
      <c r="MF43" s="23"/>
      <c r="MG43" s="23"/>
      <c r="MH43" s="23"/>
      <c r="MI43" s="23"/>
      <c r="MJ43" s="23"/>
      <c r="MK43" s="23"/>
      <c r="ML43" s="23"/>
      <c r="MM43" s="23"/>
      <c r="MN43" s="23"/>
      <c r="MO43" s="23"/>
      <c r="MP43" s="23"/>
      <c r="MQ43" s="23"/>
      <c r="MR43" s="23"/>
      <c r="MS43" s="23"/>
      <c r="MT43" s="23"/>
      <c r="MU43" s="23"/>
      <c r="MV43" s="23"/>
      <c r="MW43" s="23"/>
      <c r="MX43" s="23"/>
      <c r="MY43" s="23"/>
      <c r="MZ43" s="23"/>
      <c r="NA43" s="23"/>
      <c r="NB43" s="23"/>
      <c r="NC43" s="23"/>
      <c r="ND43" s="23"/>
      <c r="NE43" s="23"/>
      <c r="NF43" s="23"/>
      <c r="NG43" s="23"/>
      <c r="NH43" s="23"/>
      <c r="NI43" s="23"/>
      <c r="NJ43" s="23"/>
      <c r="NK43" s="23"/>
      <c r="NL43" s="23"/>
      <c r="NM43" s="23"/>
      <c r="NN43" s="23"/>
      <c r="NO43" s="23"/>
      <c r="NP43" s="23"/>
      <c r="NQ43" s="23"/>
      <c r="NR43" s="23"/>
      <c r="NS43" s="23"/>
      <c r="NT43" s="23"/>
      <c r="NU43" s="23"/>
      <c r="NV43" s="23"/>
      <c r="NW43" s="23"/>
      <c r="NX43" s="23"/>
      <c r="NY43" s="23"/>
      <c r="NZ43" s="23"/>
      <c r="OA43" s="23"/>
      <c r="OB43" s="23"/>
      <c r="OC43" s="23"/>
      <c r="OD43" s="23"/>
      <c r="OE43" s="23"/>
      <c r="OF43" s="23"/>
      <c r="OG43" s="23"/>
      <c r="OH43" s="23"/>
      <c r="OI43" s="23"/>
      <c r="OJ43" s="23"/>
      <c r="OK43" s="23"/>
      <c r="OL43" s="23"/>
      <c r="OM43" s="23"/>
      <c r="ON43" s="23"/>
      <c r="OO43" s="23"/>
      <c r="OP43" s="23"/>
      <c r="OQ43" s="23"/>
      <c r="OR43" s="23"/>
      <c r="OS43" s="23"/>
      <c r="OT43" s="23"/>
      <c r="OU43" s="23"/>
      <c r="OV43" s="23"/>
      <c r="OW43" s="23"/>
      <c r="OX43" s="23"/>
      <c r="OY43" s="23"/>
      <c r="OZ43" s="23"/>
      <c r="PA43" s="23"/>
      <c r="PB43" s="23"/>
      <c r="PC43" s="23"/>
      <c r="PD43" s="23"/>
      <c r="PE43" s="23"/>
      <c r="PF43" s="23"/>
      <c r="PG43" s="23"/>
      <c r="PH43" s="23"/>
      <c r="PI43" s="23"/>
      <c r="PJ43" s="23"/>
      <c r="PK43" s="23"/>
      <c r="PL43" s="23"/>
      <c r="PM43" s="23"/>
      <c r="PN43" s="23"/>
      <c r="PO43" s="23"/>
      <c r="PP43" s="23"/>
      <c r="PQ43" s="23"/>
      <c r="PR43" s="23"/>
      <c r="PS43" s="23"/>
      <c r="PT43" s="23"/>
      <c r="PU43" s="23"/>
      <c r="PV43" s="23"/>
      <c r="PW43" s="23"/>
      <c r="PX43" s="23"/>
      <c r="PY43" s="23"/>
      <c r="PZ43" s="23"/>
      <c r="QA43" s="23"/>
      <c r="QB43" s="23"/>
      <c r="QC43" s="23"/>
      <c r="QD43" s="23"/>
      <c r="QE43" s="23"/>
      <c r="QF43" s="23"/>
      <c r="QG43" s="23"/>
      <c r="QH43" s="23"/>
      <c r="QI43" s="23"/>
      <c r="QJ43" s="23"/>
      <c r="QK43" s="23"/>
      <c r="QL43" s="23"/>
      <c r="QM43" s="23"/>
      <c r="QN43" s="23"/>
      <c r="QO43" s="23"/>
      <c r="QP43" s="23"/>
      <c r="QQ43" s="23"/>
      <c r="QR43" s="23"/>
      <c r="QS43" s="23"/>
      <c r="QT43" s="23"/>
      <c r="QU43" s="23"/>
      <c r="QV43" s="23"/>
      <c r="QW43" s="23"/>
      <c r="QX43" s="23"/>
      <c r="QY43" s="23"/>
      <c r="QZ43" s="23"/>
      <c r="RA43" s="23"/>
      <c r="RB43" s="23"/>
      <c r="RC43" s="23"/>
      <c r="RD43" s="23"/>
      <c r="RE43" s="23"/>
      <c r="RF43" s="23"/>
      <c r="RG43" s="23"/>
      <c r="RH43" s="23"/>
      <c r="RI43" s="23"/>
      <c r="RJ43" s="23"/>
      <c r="RK43" s="23"/>
      <c r="RL43" s="23"/>
      <c r="RM43" s="23"/>
      <c r="RN43" s="23"/>
      <c r="RO43" s="23"/>
      <c r="RP43" s="23"/>
      <c r="RQ43" s="23"/>
      <c r="RR43" s="23"/>
      <c r="RS43" s="23"/>
      <c r="RT43" s="23"/>
      <c r="RU43" s="23"/>
      <c r="RV43" s="23"/>
      <c r="RW43" s="23"/>
      <c r="RX43" s="23"/>
      <c r="RY43" s="23"/>
      <c r="RZ43" s="23"/>
      <c r="SA43" s="23"/>
      <c r="SB43" s="23"/>
      <c r="SC43" s="23"/>
      <c r="SD43" s="23"/>
      <c r="SE43" s="23"/>
      <c r="SF43" s="23"/>
      <c r="SG43" s="23"/>
      <c r="SH43" s="23"/>
      <c r="SI43" s="23"/>
      <c r="SJ43" s="23"/>
      <c r="SK43" s="23"/>
      <c r="SL43" s="23"/>
      <c r="SM43" s="23"/>
      <c r="SN43" s="23"/>
      <c r="SO43" s="23"/>
      <c r="SP43" s="23"/>
      <c r="SQ43" s="23"/>
      <c r="SR43" s="23"/>
      <c r="SS43" s="23"/>
      <c r="ST43" s="23"/>
      <c r="SU43" s="23"/>
      <c r="SV43" s="23"/>
      <c r="SW43" s="23"/>
      <c r="SX43" s="23"/>
      <c r="SY43" s="23"/>
      <c r="SZ43" s="23"/>
      <c r="TA43" s="23"/>
      <c r="TB43" s="23"/>
      <c r="TC43" s="23"/>
      <c r="TD43" s="23"/>
      <c r="TE43" s="23"/>
      <c r="TF43" s="23"/>
      <c r="TG43" s="23"/>
      <c r="TH43" s="23"/>
      <c r="TI43" s="23"/>
      <c r="TJ43" s="23"/>
      <c r="TK43" s="23"/>
      <c r="TL43" s="23"/>
      <c r="TM43" s="23"/>
      <c r="TN43" s="23"/>
      <c r="TO43" s="23"/>
      <c r="TP43" s="23"/>
      <c r="TQ43" s="23"/>
      <c r="TR43" s="23"/>
      <c r="TS43" s="23"/>
      <c r="TT43" s="23"/>
      <c r="TU43" s="23"/>
      <c r="TV43" s="23"/>
    </row>
    <row r="44" spans="1:542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  <c r="IX44" s="23"/>
      <c r="IY44" s="23"/>
      <c r="IZ44" s="23"/>
      <c r="JA44" s="23"/>
      <c r="JB44" s="23"/>
      <c r="JC44" s="23"/>
      <c r="JD44" s="23"/>
      <c r="JE44" s="23"/>
      <c r="JF44" s="23"/>
      <c r="JG44" s="23"/>
      <c r="JH44" s="23"/>
      <c r="JI44" s="23"/>
      <c r="JJ44" s="23"/>
      <c r="JK44" s="23"/>
      <c r="JL44" s="23"/>
      <c r="JM44" s="23"/>
      <c r="JN44" s="23"/>
      <c r="JO44" s="23"/>
      <c r="JP44" s="23"/>
      <c r="JQ44" s="23"/>
      <c r="JR44" s="23"/>
      <c r="JS44" s="23"/>
      <c r="JT44" s="23"/>
      <c r="JU44" s="23"/>
      <c r="JV44" s="23"/>
      <c r="JW44" s="23"/>
      <c r="JX44" s="23"/>
      <c r="JY44" s="23"/>
      <c r="JZ44" s="23"/>
      <c r="KA44" s="23"/>
      <c r="KB44" s="23"/>
      <c r="KC44" s="23"/>
      <c r="KD44" s="23"/>
      <c r="KE44" s="23"/>
      <c r="KF44" s="23"/>
      <c r="KG44" s="23"/>
      <c r="KH44" s="23"/>
      <c r="KI44" s="23"/>
      <c r="KJ44" s="23"/>
      <c r="KK44" s="23"/>
      <c r="KL44" s="23"/>
      <c r="KM44" s="23"/>
      <c r="KN44" s="23"/>
      <c r="KO44" s="23"/>
      <c r="KP44" s="23"/>
      <c r="KQ44" s="23"/>
      <c r="KR44" s="23"/>
      <c r="KS44" s="23"/>
      <c r="KT44" s="23"/>
      <c r="KU44" s="23"/>
      <c r="KV44" s="23"/>
      <c r="KW44" s="23"/>
      <c r="KX44" s="23"/>
      <c r="KY44" s="23"/>
      <c r="KZ44" s="23"/>
      <c r="LA44" s="23"/>
      <c r="LB44" s="23"/>
      <c r="LC44" s="23"/>
      <c r="LD44" s="23"/>
      <c r="LE44" s="23"/>
      <c r="LF44" s="23"/>
      <c r="LG44" s="23"/>
      <c r="LH44" s="23"/>
      <c r="LI44" s="23"/>
      <c r="LJ44" s="23"/>
      <c r="LK44" s="23"/>
      <c r="LL44" s="23"/>
      <c r="LM44" s="23"/>
      <c r="LN44" s="23"/>
      <c r="LO44" s="23"/>
      <c r="LP44" s="23"/>
      <c r="LQ44" s="23"/>
      <c r="LR44" s="23"/>
      <c r="LS44" s="23"/>
      <c r="LT44" s="23"/>
      <c r="LU44" s="23"/>
      <c r="LV44" s="23"/>
      <c r="LW44" s="23"/>
      <c r="LX44" s="23"/>
      <c r="LY44" s="23"/>
      <c r="LZ44" s="23"/>
      <c r="MA44" s="23"/>
      <c r="MB44" s="23"/>
      <c r="MC44" s="23"/>
      <c r="MD44" s="23"/>
      <c r="ME44" s="23"/>
      <c r="MF44" s="23"/>
      <c r="MG44" s="23"/>
      <c r="MH44" s="23"/>
      <c r="MI44" s="23"/>
      <c r="MJ44" s="23"/>
      <c r="MK44" s="23"/>
      <c r="ML44" s="23"/>
      <c r="MM44" s="23"/>
      <c r="MN44" s="23"/>
      <c r="MO44" s="23"/>
      <c r="MP44" s="23"/>
      <c r="MQ44" s="23"/>
      <c r="MR44" s="23"/>
      <c r="MS44" s="23"/>
      <c r="MT44" s="23"/>
      <c r="MU44" s="23"/>
      <c r="MV44" s="23"/>
      <c r="MW44" s="23"/>
      <c r="MX44" s="23"/>
      <c r="MY44" s="23"/>
      <c r="MZ44" s="23"/>
      <c r="NA44" s="23"/>
      <c r="NB44" s="23"/>
      <c r="NC44" s="23"/>
      <c r="ND44" s="23"/>
      <c r="NE44" s="23"/>
      <c r="NF44" s="23"/>
      <c r="NG44" s="23"/>
      <c r="NH44" s="23"/>
      <c r="NI44" s="23"/>
      <c r="NJ44" s="23"/>
      <c r="NK44" s="23"/>
      <c r="NL44" s="23"/>
      <c r="NM44" s="23"/>
      <c r="NN44" s="23"/>
      <c r="NO44" s="23"/>
      <c r="NP44" s="23"/>
      <c r="NQ44" s="23"/>
      <c r="NR44" s="23"/>
      <c r="NS44" s="23"/>
      <c r="NT44" s="23"/>
      <c r="NU44" s="23"/>
      <c r="NV44" s="23"/>
      <c r="NW44" s="23"/>
      <c r="NX44" s="23"/>
      <c r="NY44" s="23"/>
      <c r="NZ44" s="23"/>
      <c r="OA44" s="23"/>
      <c r="OB44" s="23"/>
      <c r="OC44" s="23"/>
      <c r="OD44" s="23"/>
      <c r="OE44" s="23"/>
      <c r="OF44" s="23"/>
      <c r="OG44" s="23"/>
      <c r="OH44" s="23"/>
      <c r="OI44" s="23"/>
      <c r="OJ44" s="23"/>
      <c r="OK44" s="23"/>
      <c r="OL44" s="23"/>
      <c r="OM44" s="23"/>
      <c r="ON44" s="23"/>
      <c r="OO44" s="23"/>
      <c r="OP44" s="23"/>
      <c r="OQ44" s="23"/>
      <c r="OR44" s="23"/>
      <c r="OS44" s="23"/>
      <c r="OT44" s="23"/>
      <c r="OU44" s="23"/>
      <c r="OV44" s="23"/>
      <c r="OW44" s="23"/>
      <c r="OX44" s="23"/>
      <c r="OY44" s="23"/>
      <c r="OZ44" s="23"/>
      <c r="PA44" s="23"/>
      <c r="PB44" s="23"/>
      <c r="PC44" s="23"/>
      <c r="PD44" s="23"/>
      <c r="PE44" s="23"/>
      <c r="PF44" s="23"/>
      <c r="PG44" s="23"/>
      <c r="PH44" s="23"/>
      <c r="PI44" s="23"/>
      <c r="PJ44" s="23"/>
      <c r="PK44" s="23"/>
      <c r="PL44" s="23"/>
      <c r="PM44" s="23"/>
      <c r="PN44" s="23"/>
      <c r="PO44" s="23"/>
      <c r="PP44" s="23"/>
      <c r="PQ44" s="23"/>
      <c r="PR44" s="23"/>
      <c r="PS44" s="23"/>
      <c r="PT44" s="23"/>
      <c r="PU44" s="23"/>
      <c r="PV44" s="23"/>
      <c r="PW44" s="23"/>
      <c r="PX44" s="23"/>
      <c r="PY44" s="23"/>
      <c r="PZ44" s="23"/>
      <c r="QA44" s="23"/>
      <c r="QB44" s="23"/>
      <c r="QC44" s="23"/>
      <c r="QD44" s="23"/>
      <c r="QE44" s="23"/>
      <c r="QF44" s="23"/>
      <c r="QG44" s="23"/>
      <c r="QH44" s="23"/>
      <c r="QI44" s="23"/>
      <c r="QJ44" s="23"/>
      <c r="QK44" s="23"/>
      <c r="QL44" s="23"/>
      <c r="QM44" s="23"/>
      <c r="QN44" s="23"/>
      <c r="QO44" s="23"/>
      <c r="QP44" s="23"/>
      <c r="QQ44" s="23"/>
      <c r="QR44" s="23"/>
      <c r="QS44" s="23"/>
      <c r="QT44" s="23"/>
      <c r="QU44" s="23"/>
      <c r="QV44" s="23"/>
      <c r="QW44" s="23"/>
      <c r="QX44" s="23"/>
      <c r="QY44" s="23"/>
      <c r="QZ44" s="23"/>
      <c r="RA44" s="23"/>
      <c r="RB44" s="23"/>
      <c r="RC44" s="23"/>
      <c r="RD44" s="23"/>
      <c r="RE44" s="23"/>
      <c r="RF44" s="23"/>
      <c r="RG44" s="23"/>
      <c r="RH44" s="23"/>
      <c r="RI44" s="23"/>
      <c r="RJ44" s="23"/>
      <c r="RK44" s="23"/>
      <c r="RL44" s="23"/>
      <c r="RM44" s="23"/>
      <c r="RN44" s="23"/>
      <c r="RO44" s="23"/>
      <c r="RP44" s="23"/>
      <c r="RQ44" s="23"/>
      <c r="RR44" s="23"/>
      <c r="RS44" s="23"/>
      <c r="RT44" s="23"/>
      <c r="RU44" s="23"/>
      <c r="RV44" s="23"/>
      <c r="RW44" s="23"/>
      <c r="RX44" s="23"/>
      <c r="RY44" s="23"/>
      <c r="RZ44" s="23"/>
      <c r="SA44" s="23"/>
      <c r="SB44" s="23"/>
      <c r="SC44" s="23"/>
      <c r="SD44" s="23"/>
      <c r="SE44" s="23"/>
      <c r="SF44" s="23"/>
      <c r="SG44" s="23"/>
      <c r="SH44" s="23"/>
      <c r="SI44" s="23"/>
      <c r="SJ44" s="23"/>
      <c r="SK44" s="23"/>
      <c r="SL44" s="23"/>
      <c r="SM44" s="23"/>
      <c r="SN44" s="23"/>
      <c r="SO44" s="23"/>
      <c r="SP44" s="23"/>
      <c r="SQ44" s="23"/>
      <c r="SR44" s="23"/>
      <c r="SS44" s="23"/>
      <c r="ST44" s="23"/>
      <c r="SU44" s="23"/>
      <c r="SV44" s="23"/>
      <c r="SW44" s="23"/>
      <c r="SX44" s="23"/>
      <c r="SY44" s="23"/>
      <c r="SZ44" s="23"/>
      <c r="TA44" s="23"/>
      <c r="TB44" s="23"/>
      <c r="TC44" s="23"/>
      <c r="TD44" s="23"/>
      <c r="TE44" s="23"/>
      <c r="TF44" s="23"/>
      <c r="TG44" s="23"/>
      <c r="TH44" s="23"/>
      <c r="TI44" s="23"/>
      <c r="TJ44" s="23"/>
      <c r="TK44" s="23"/>
      <c r="TL44" s="23"/>
      <c r="TM44" s="23"/>
      <c r="TN44" s="23"/>
      <c r="TO44" s="23"/>
      <c r="TP44" s="23"/>
      <c r="TQ44" s="23"/>
      <c r="TR44" s="23"/>
      <c r="TS44" s="23"/>
      <c r="TT44" s="23"/>
      <c r="TU44" s="23"/>
      <c r="TV44" s="23"/>
    </row>
    <row r="45" spans="1:542" ht="12.75" customHeight="1" x14ac:dyDescent="0.25"/>
    <row r="46" spans="1:542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542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542" ht="21" customHeight="1" x14ac:dyDescent="0.25">
      <c r="A48" s="13"/>
      <c r="B48" s="11"/>
      <c r="C48" s="112"/>
      <c r="D48" s="112"/>
      <c r="E48" s="112"/>
      <c r="F48" s="112"/>
      <c r="G48" s="112"/>
      <c r="H48" s="112"/>
    </row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</sheetData>
  <sheetProtection algorithmName="SHA-512" hashValue="EpBpUkiopJlI4QamlPpYowP+12sAeda+bA6zWEjXYAyyOvLe+2YUW8c5SUygf4PQvOmSsmEqK2tPXwpS6VD0Fg==" saltValue="qiRYAg67MyCKSMEB2d0yNg==" spinCount="100000" sheet="1" selectLockedCells="1"/>
  <mergeCells count="3">
    <mergeCell ref="A1:H1"/>
    <mergeCell ref="G10:H15"/>
    <mergeCell ref="B26:G26"/>
  </mergeCells>
  <phoneticPr fontId="0" type="noConversion"/>
  <dataValidations disablePrompts="1" xWindow="521" yWindow="286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0D00-000000000000}"/>
  </dataValidations>
  <hyperlinks>
    <hyperlink ref="H38" r:id="rId1" xr:uid="{00000000-0004-0000-0D00-000000000000}"/>
    <hyperlink ref="H37" r:id="rId2" xr:uid="{00000000-0004-0000-0D00-000001000000}"/>
    <hyperlink ref="H36" r:id="rId3" xr:uid="{00000000-0004-0000-0D00-000002000000}"/>
    <hyperlink ref="H34" r:id="rId4" xr:uid="{00000000-0004-0000-0D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>
    <tabColor rgb="FFC00000"/>
  </sheetPr>
  <dimension ref="A1:QZ53"/>
  <sheetViews>
    <sheetView showGridLines="0" showRowColHeaders="0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12" t="s">
        <v>193</v>
      </c>
      <c r="B1" s="512"/>
      <c r="C1" s="512"/>
      <c r="D1" s="512"/>
      <c r="E1" s="512"/>
      <c r="F1" s="512"/>
      <c r="G1" s="512"/>
      <c r="H1" s="512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1"/>
      <c r="C3" s="36"/>
      <c r="D3" s="94" t="s">
        <v>87</v>
      </c>
      <c r="E3" s="96">
        <v>200</v>
      </c>
      <c r="F3" s="2"/>
      <c r="G3" s="2"/>
      <c r="H3" s="3"/>
    </row>
    <row r="4" spans="1:8" ht="18" customHeight="1" x14ac:dyDescent="0.3">
      <c r="A4" s="22"/>
      <c r="B4" s="35"/>
      <c r="C4" s="36"/>
      <c r="D4" s="95" t="s">
        <v>13</v>
      </c>
      <c r="E4" s="97">
        <v>0</v>
      </c>
      <c r="F4" s="2"/>
      <c r="G4" s="2"/>
      <c r="H4" s="3"/>
    </row>
    <row r="5" spans="1:8" ht="18" customHeight="1" x14ac:dyDescent="0.3">
      <c r="A5" s="22"/>
      <c r="B5" s="35"/>
      <c r="C5" s="36"/>
      <c r="D5" s="95" t="s">
        <v>86</v>
      </c>
      <c r="E5" s="344">
        <f>E3+E3*E4/100</f>
        <v>200</v>
      </c>
      <c r="F5" s="2"/>
      <c r="G5" s="2"/>
      <c r="H5" s="3"/>
    </row>
    <row r="6" spans="1:8" ht="12.75" customHeight="1" x14ac:dyDescent="0.25">
      <c r="A6" s="22"/>
      <c r="B6" s="9"/>
      <c r="C6" s="22"/>
      <c r="D6" s="22"/>
      <c r="E6" s="22"/>
      <c r="F6" s="22"/>
      <c r="G6" s="22"/>
    </row>
    <row r="7" spans="1:8" ht="18" customHeight="1" thickBot="1" x14ac:dyDescent="0.35">
      <c r="A7" s="7"/>
      <c r="B7" s="100" t="s">
        <v>0</v>
      </c>
      <c r="C7" s="101" t="s">
        <v>19</v>
      </c>
      <c r="D7" s="102" t="s">
        <v>21</v>
      </c>
      <c r="E7" s="102" t="s">
        <v>22</v>
      </c>
      <c r="G7" s="4"/>
      <c r="H7" s="1"/>
    </row>
    <row r="8" spans="1:8" ht="18" customHeight="1" thickTop="1" x14ac:dyDescent="0.3">
      <c r="A8" s="22"/>
      <c r="B8" s="103" t="s">
        <v>11</v>
      </c>
      <c r="C8" s="88">
        <v>0.25</v>
      </c>
      <c r="D8" s="89">
        <v>0.5</v>
      </c>
      <c r="E8" s="89">
        <v>0.25</v>
      </c>
      <c r="F8" s="74">
        <f>SUM(A8:E8)</f>
        <v>1</v>
      </c>
      <c r="G8" s="4"/>
      <c r="H8" s="1"/>
    </row>
    <row r="9" spans="1:8" ht="18.75" hidden="1" customHeight="1" x14ac:dyDescent="0.25">
      <c r="A9" s="22"/>
      <c r="B9" s="51" t="s">
        <v>67</v>
      </c>
      <c r="C9" s="104">
        <v>0.48</v>
      </c>
      <c r="D9" s="105">
        <v>0.96</v>
      </c>
      <c r="E9" s="105">
        <v>1.44</v>
      </c>
      <c r="G9" s="22"/>
    </row>
    <row r="10" spans="1:8" ht="12.75" customHeight="1" x14ac:dyDescent="0.25">
      <c r="A10" s="22"/>
      <c r="B10" s="50" t="s">
        <v>1</v>
      </c>
      <c r="C10" s="106">
        <f>+($E$5*C8)/C9</f>
        <v>104.16666666666667</v>
      </c>
      <c r="D10" s="107">
        <f>+($E$5*D8)/D9</f>
        <v>104.16666666666667</v>
      </c>
      <c r="E10" s="107">
        <f>+($E$5*E8)/E9</f>
        <v>34.722222222222221</v>
      </c>
      <c r="G10" s="490" t="s">
        <v>90</v>
      </c>
      <c r="H10" s="490"/>
    </row>
    <row r="11" spans="1:8" ht="12.75" customHeight="1" x14ac:dyDescent="0.25">
      <c r="A11" s="22"/>
      <c r="B11" s="51" t="s">
        <v>68</v>
      </c>
      <c r="C11" s="104">
        <v>180</v>
      </c>
      <c r="D11" s="105">
        <v>70</v>
      </c>
      <c r="E11" s="105">
        <v>40</v>
      </c>
      <c r="G11" s="490"/>
      <c r="H11" s="490"/>
    </row>
    <row r="12" spans="1:8" ht="12.75" customHeight="1" thickBot="1" x14ac:dyDescent="0.3">
      <c r="A12" s="22"/>
      <c r="B12" s="115" t="s">
        <v>84</v>
      </c>
      <c r="C12" s="138">
        <v>12</v>
      </c>
      <c r="D12" s="138">
        <v>10</v>
      </c>
      <c r="E12" s="105">
        <v>10</v>
      </c>
      <c r="G12" s="490"/>
      <c r="H12" s="490"/>
    </row>
    <row r="13" spans="1:8" ht="18.75" hidden="1" customHeight="1" x14ac:dyDescent="0.25">
      <c r="A13" s="22"/>
      <c r="B13" s="116" t="s">
        <v>64</v>
      </c>
      <c r="C13" s="138">
        <v>12</v>
      </c>
      <c r="D13" s="138">
        <v>10</v>
      </c>
      <c r="E13" s="105">
        <v>10</v>
      </c>
      <c r="G13" s="490"/>
      <c r="H13" s="490"/>
    </row>
    <row r="14" spans="1:8" ht="18.75" hidden="1" customHeight="1" thickBot="1" x14ac:dyDescent="0.3">
      <c r="A14" s="22"/>
      <c r="B14" s="116" t="s">
        <v>65</v>
      </c>
      <c r="C14" s="138">
        <v>12</v>
      </c>
      <c r="D14" s="138">
        <v>10</v>
      </c>
      <c r="E14" s="105">
        <v>10</v>
      </c>
      <c r="G14" s="490"/>
      <c r="H14" s="490"/>
    </row>
    <row r="15" spans="1:8" ht="18" customHeight="1" thickBot="1" x14ac:dyDescent="0.3">
      <c r="A15" s="22"/>
      <c r="B15" s="52" t="s">
        <v>69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1</v>
      </c>
      <c r="G15" s="490"/>
      <c r="H15" s="490"/>
    </row>
    <row r="16" spans="1:8" ht="18" customHeight="1" thickBot="1" x14ac:dyDescent="0.3">
      <c r="A16" s="22"/>
      <c r="B16" s="139" t="s">
        <v>85</v>
      </c>
      <c r="C16" s="119">
        <f>IF(ROUNDUP((C10-(C11*C15))/C12,0)&lt;0,0,ROUNDUP((C10-(C11*C15))/C12,0))</f>
        <v>9</v>
      </c>
      <c r="D16" s="119">
        <f>IF(ROUNDUP((D10-(D11*D15))/D12,0)&lt;0,0,ROUNDUP((D10-(D11*D15))/D12,0))</f>
        <v>4</v>
      </c>
      <c r="E16" s="131">
        <f>IF(ROUNDUP((E10-(E11*E15))/E12,0)&lt;0,0,ROUNDUP((E10-(E11*E15))/E12,0))</f>
        <v>0</v>
      </c>
      <c r="G16" s="22"/>
    </row>
    <row r="17" spans="1:468" ht="18" customHeight="1" x14ac:dyDescent="0.25">
      <c r="A17" s="22"/>
      <c r="B17" s="140" t="s">
        <v>66</v>
      </c>
      <c r="C17" s="123">
        <f>(C15*C11)+(ROUNDUP(C16/2,0)*C13)+(ROUNDDOWN(C16/2,0)*C14)</f>
        <v>108</v>
      </c>
      <c r="D17" s="123">
        <f>(D15*D11)+(ROUNDUP(D16/2,0)*D13)+(ROUNDDOWN(D16/2,0)*D14)</f>
        <v>110</v>
      </c>
      <c r="E17" s="132">
        <f>(E15*E11)+(ROUNDUP(E16/2,0)*E13)+(ROUNDDOWN(E16/2,0)*E14)</f>
        <v>40</v>
      </c>
      <c r="G17" s="22"/>
    </row>
    <row r="18" spans="1:468" ht="12.75" customHeight="1" x14ac:dyDescent="0.25">
      <c r="A18" s="22"/>
      <c r="B18" s="144" t="s">
        <v>71</v>
      </c>
      <c r="C18" s="25">
        <f>C11*C19</f>
        <v>2737.8</v>
      </c>
      <c r="D18" s="25">
        <f>D11*D19</f>
        <v>2870.7</v>
      </c>
      <c r="E18" s="25">
        <f>E11*E19</f>
        <v>2399.1999999999998</v>
      </c>
      <c r="G18" s="22"/>
    </row>
    <row r="19" spans="1:468" ht="12.75" customHeight="1" x14ac:dyDescent="0.25">
      <c r="A19" s="22"/>
      <c r="B19" s="266" t="s">
        <v>70</v>
      </c>
      <c r="C19" s="161">
        <v>15.21</v>
      </c>
      <c r="D19" s="161">
        <v>41.01</v>
      </c>
      <c r="E19" s="161">
        <v>59.98</v>
      </c>
      <c r="G19" s="22"/>
    </row>
    <row r="20" spans="1:468" ht="18" hidden="1" customHeight="1" x14ac:dyDescent="0.25">
      <c r="A20" s="22"/>
      <c r="B20" s="24" t="s">
        <v>72</v>
      </c>
      <c r="C20" s="25">
        <f>+C17*C9</f>
        <v>51.839999999999996</v>
      </c>
      <c r="D20" s="25">
        <f>+D17*D9</f>
        <v>105.6</v>
      </c>
      <c r="E20" s="25">
        <f>+E17*E9</f>
        <v>57.599999999999994</v>
      </c>
      <c r="G20" s="22"/>
    </row>
    <row r="21" spans="1:468" ht="12.75" customHeight="1" x14ac:dyDescent="0.25">
      <c r="A21" s="22"/>
      <c r="B21" s="22"/>
      <c r="C21" s="22"/>
      <c r="D21" s="22"/>
      <c r="E21" s="22"/>
      <c r="F21" s="22"/>
      <c r="G21" s="22"/>
    </row>
    <row r="22" spans="1:468" ht="12.75" customHeight="1" x14ac:dyDescent="0.25">
      <c r="A22" s="22"/>
      <c r="B22" s="86" t="s">
        <v>89</v>
      </c>
      <c r="C22" s="22"/>
      <c r="D22" s="22"/>
      <c r="E22" s="22"/>
      <c r="F22" s="22"/>
      <c r="G22" s="22"/>
    </row>
    <row r="23" spans="1:468" ht="12.75" customHeight="1" x14ac:dyDescent="0.25">
      <c r="A23" s="22"/>
      <c r="B23" s="87" t="s">
        <v>50</v>
      </c>
      <c r="C23" s="22"/>
      <c r="D23" s="22"/>
      <c r="E23" s="22"/>
      <c r="F23" s="22"/>
      <c r="G23" s="22"/>
    </row>
    <row r="24" spans="1:468" ht="18" customHeight="1" x14ac:dyDescent="0.25">
      <c r="A24" s="44"/>
      <c r="B24" s="44"/>
      <c r="C24" s="243" t="s">
        <v>93</v>
      </c>
      <c r="D24" s="234">
        <f>SUM(C20:E20)</f>
        <v>215.04</v>
      </c>
      <c r="E24" s="244" t="s">
        <v>94</v>
      </c>
      <c r="F24" s="44"/>
      <c r="G24" s="44"/>
      <c r="H24" s="46"/>
    </row>
    <row r="25" spans="1:468" ht="18" customHeight="1" x14ac:dyDescent="0.25">
      <c r="A25" s="39"/>
      <c r="B25" s="39"/>
      <c r="C25" s="69" t="s">
        <v>95</v>
      </c>
      <c r="D25" s="70">
        <f>ROUND(+D24/30,0)</f>
        <v>7</v>
      </c>
      <c r="E25" s="245" t="s">
        <v>4</v>
      </c>
      <c r="F25" s="39"/>
      <c r="G25" s="39"/>
      <c r="H25" s="35"/>
    </row>
    <row r="26" spans="1:468" ht="12.75" customHeight="1" x14ac:dyDescent="0.25">
      <c r="A26" s="39"/>
      <c r="B26" s="487" t="s">
        <v>8</v>
      </c>
      <c r="C26" s="487"/>
      <c r="D26" s="487"/>
      <c r="E26" s="487"/>
      <c r="F26" s="487"/>
      <c r="G26" s="487"/>
      <c r="H26" s="35"/>
    </row>
    <row r="27" spans="1:468" ht="18" customHeight="1" x14ac:dyDescent="0.25">
      <c r="A27" s="44"/>
      <c r="B27" s="44"/>
      <c r="C27" s="243" t="s">
        <v>96</v>
      </c>
      <c r="D27" s="234">
        <f>SUM(C17*C19+D17*D19+E17*E19)</f>
        <v>8552.98</v>
      </c>
      <c r="E27" s="244" t="s">
        <v>3</v>
      </c>
      <c r="F27" s="44"/>
      <c r="G27" s="44"/>
      <c r="H27" s="46"/>
    </row>
    <row r="28" spans="1:468" s="17" customFormat="1" ht="12.75" customHeight="1" x14ac:dyDescent="0.25">
      <c r="A28" s="491" t="s">
        <v>194</v>
      </c>
      <c r="B28" s="491"/>
      <c r="C28" s="491"/>
      <c r="D28" s="491"/>
      <c r="E28" s="491"/>
      <c r="F28" s="491"/>
      <c r="G28" s="491"/>
      <c r="H28" s="491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  <c r="KS28" s="23"/>
      <c r="KT28" s="23"/>
      <c r="KU28" s="23"/>
      <c r="KV28" s="23"/>
      <c r="KW28" s="23"/>
      <c r="KX28" s="23"/>
      <c r="KY28" s="23"/>
      <c r="KZ28" s="23"/>
      <c r="LA28" s="23"/>
      <c r="LB28" s="23"/>
      <c r="LC28" s="23"/>
      <c r="LD28" s="23"/>
      <c r="LE28" s="23"/>
      <c r="LF28" s="23"/>
      <c r="LG28" s="23"/>
      <c r="LH28" s="23"/>
      <c r="LI28" s="23"/>
      <c r="LJ28" s="23"/>
      <c r="LK28" s="23"/>
      <c r="LL28" s="23"/>
      <c r="LM28" s="23"/>
      <c r="LN28" s="23"/>
      <c r="LO28" s="23"/>
      <c r="LP28" s="23"/>
      <c r="LQ28" s="23"/>
      <c r="LR28" s="23"/>
      <c r="LS28" s="23"/>
      <c r="LT28" s="23"/>
      <c r="LU28" s="23"/>
      <c r="LV28" s="23"/>
      <c r="LW28" s="23"/>
      <c r="LX28" s="23"/>
      <c r="LY28" s="23"/>
      <c r="LZ28" s="23"/>
      <c r="MA28" s="23"/>
      <c r="MB28" s="23"/>
      <c r="MC28" s="23"/>
      <c r="MD28" s="23"/>
      <c r="ME28" s="23"/>
      <c r="MF28" s="23"/>
      <c r="MG28" s="23"/>
      <c r="MH28" s="23"/>
      <c r="MI28" s="23"/>
      <c r="MJ28" s="23"/>
      <c r="MK28" s="23"/>
      <c r="ML28" s="23"/>
      <c r="MM28" s="23"/>
      <c r="MN28" s="23"/>
      <c r="MO28" s="23"/>
      <c r="MP28" s="23"/>
      <c r="MQ28" s="23"/>
      <c r="MR28" s="23"/>
      <c r="MS28" s="23"/>
      <c r="MT28" s="23"/>
      <c r="MU28" s="23"/>
      <c r="MV28" s="23"/>
      <c r="MW28" s="23"/>
      <c r="MX28" s="23"/>
      <c r="MY28" s="23"/>
      <c r="MZ28" s="23"/>
      <c r="NA28" s="23"/>
      <c r="NB28" s="23"/>
      <c r="NC28" s="23"/>
      <c r="ND28" s="23"/>
      <c r="NE28" s="23"/>
      <c r="NF28" s="23"/>
      <c r="NG28" s="23"/>
      <c r="NH28" s="23"/>
      <c r="NI28" s="23"/>
      <c r="NJ28" s="23"/>
      <c r="NK28" s="23"/>
      <c r="NL28" s="23"/>
      <c r="NM28" s="23"/>
      <c r="NN28" s="23"/>
      <c r="NO28" s="23"/>
      <c r="NP28" s="23"/>
      <c r="NQ28" s="23"/>
      <c r="NR28" s="23"/>
      <c r="NS28" s="23"/>
      <c r="NT28" s="23"/>
      <c r="NU28" s="23"/>
      <c r="NV28" s="23"/>
      <c r="NW28" s="23"/>
      <c r="NX28" s="23"/>
      <c r="NY28" s="23"/>
      <c r="NZ28" s="23"/>
      <c r="OA28" s="23"/>
      <c r="OB28" s="23"/>
      <c r="OC28" s="23"/>
      <c r="OD28" s="23"/>
      <c r="OE28" s="23"/>
      <c r="OF28" s="23"/>
      <c r="OG28" s="23"/>
      <c r="OH28" s="23"/>
      <c r="OI28" s="23"/>
      <c r="OJ28" s="23"/>
      <c r="OK28" s="23"/>
      <c r="OL28" s="23"/>
      <c r="OM28" s="23"/>
      <c r="ON28" s="23"/>
      <c r="OO28" s="23"/>
      <c r="OP28" s="23"/>
      <c r="OQ28" s="23"/>
      <c r="OR28" s="23"/>
      <c r="OS28" s="23"/>
      <c r="OT28" s="23"/>
      <c r="OU28" s="23"/>
      <c r="OV28" s="23"/>
      <c r="OW28" s="23"/>
      <c r="OX28" s="23"/>
      <c r="OY28" s="23"/>
      <c r="OZ28" s="23"/>
      <c r="PA28" s="23"/>
      <c r="PB28" s="23"/>
      <c r="PC28" s="23"/>
      <c r="PD28" s="23"/>
      <c r="PE28" s="23"/>
      <c r="PF28" s="23"/>
      <c r="PG28" s="23"/>
      <c r="PH28" s="23"/>
      <c r="PI28" s="23"/>
      <c r="PJ28" s="23"/>
      <c r="PK28" s="23"/>
      <c r="PL28" s="23"/>
      <c r="PM28" s="23"/>
      <c r="PN28" s="23"/>
      <c r="PO28" s="23"/>
      <c r="PP28" s="23"/>
      <c r="PQ28" s="23"/>
      <c r="PR28" s="23"/>
      <c r="PS28" s="23"/>
      <c r="PT28" s="23"/>
      <c r="PU28" s="23"/>
      <c r="PV28" s="23"/>
      <c r="PW28" s="23"/>
      <c r="PX28" s="23"/>
      <c r="PY28" s="23"/>
      <c r="PZ28" s="23"/>
      <c r="QA28" s="23"/>
      <c r="QB28" s="23"/>
      <c r="QC28" s="23"/>
      <c r="QD28" s="23"/>
      <c r="QE28" s="23"/>
      <c r="QF28" s="23"/>
      <c r="QG28" s="23"/>
      <c r="QH28" s="23"/>
      <c r="QI28" s="23"/>
      <c r="QJ28" s="23"/>
      <c r="QK28" s="23"/>
      <c r="QL28" s="23"/>
      <c r="QM28" s="23"/>
      <c r="QN28" s="23"/>
      <c r="QO28" s="23"/>
      <c r="QP28" s="23"/>
      <c r="QQ28" s="23"/>
      <c r="QR28" s="23"/>
      <c r="QS28" s="23"/>
      <c r="QT28" s="23"/>
      <c r="QU28" s="23"/>
      <c r="QV28" s="23"/>
      <c r="QW28" s="23"/>
      <c r="QX28" s="23"/>
      <c r="QY28" s="23"/>
      <c r="QZ28" s="23"/>
    </row>
    <row r="29" spans="1:468" s="17" customFormat="1" ht="12.75" customHeigh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  <c r="NC29" s="23"/>
      <c r="ND29" s="23"/>
      <c r="NE29" s="23"/>
      <c r="NF29" s="23"/>
      <c r="NG29" s="23"/>
      <c r="NH29" s="23"/>
      <c r="NI29" s="23"/>
      <c r="NJ29" s="23"/>
      <c r="NK29" s="23"/>
      <c r="NL29" s="23"/>
      <c r="NM29" s="23"/>
      <c r="NN29" s="23"/>
      <c r="NO29" s="23"/>
      <c r="NP29" s="23"/>
      <c r="NQ29" s="23"/>
      <c r="NR29" s="23"/>
      <c r="NS29" s="23"/>
      <c r="NT29" s="23"/>
      <c r="NU29" s="23"/>
      <c r="NV29" s="23"/>
      <c r="NW29" s="23"/>
      <c r="NX29" s="23"/>
      <c r="NY29" s="23"/>
      <c r="NZ29" s="23"/>
      <c r="OA29" s="23"/>
      <c r="OB29" s="23"/>
      <c r="OC29" s="23"/>
      <c r="OD29" s="23"/>
      <c r="OE29" s="23"/>
      <c r="OF29" s="23"/>
      <c r="OG29" s="23"/>
      <c r="OH29" s="23"/>
      <c r="OI29" s="23"/>
      <c r="OJ29" s="23"/>
      <c r="OK29" s="23"/>
      <c r="OL29" s="23"/>
      <c r="OM29" s="23"/>
      <c r="ON29" s="23"/>
      <c r="OO29" s="23"/>
      <c r="OP29" s="23"/>
      <c r="OQ29" s="23"/>
      <c r="OR29" s="23"/>
      <c r="OS29" s="23"/>
      <c r="OT29" s="23"/>
      <c r="OU29" s="23"/>
      <c r="OV29" s="23"/>
      <c r="OW29" s="23"/>
      <c r="OX29" s="23"/>
      <c r="OY29" s="23"/>
      <c r="OZ29" s="23"/>
      <c r="PA29" s="23"/>
      <c r="PB29" s="23"/>
      <c r="PC29" s="23"/>
      <c r="PD29" s="23"/>
      <c r="PE29" s="23"/>
      <c r="PF29" s="23"/>
      <c r="PG29" s="23"/>
      <c r="PH29" s="23"/>
      <c r="PI29" s="23"/>
      <c r="PJ29" s="23"/>
      <c r="PK29" s="23"/>
      <c r="PL29" s="23"/>
      <c r="PM29" s="23"/>
      <c r="PN29" s="23"/>
      <c r="PO29" s="23"/>
      <c r="PP29" s="23"/>
      <c r="PQ29" s="23"/>
      <c r="PR29" s="23"/>
      <c r="PS29" s="23"/>
      <c r="PT29" s="23"/>
      <c r="PU29" s="23"/>
      <c r="PV29" s="23"/>
      <c r="PW29" s="23"/>
      <c r="PX29" s="23"/>
      <c r="PY29" s="23"/>
      <c r="PZ29" s="23"/>
      <c r="QA29" s="23"/>
      <c r="QB29" s="23"/>
      <c r="QC29" s="23"/>
      <c r="QD29" s="23"/>
      <c r="QE29" s="23"/>
      <c r="QF29" s="23"/>
      <c r="QG29" s="23"/>
      <c r="QH29" s="23"/>
      <c r="QI29" s="23"/>
      <c r="QJ29" s="23"/>
      <c r="QK29" s="23"/>
      <c r="QL29" s="23"/>
      <c r="QM29" s="23"/>
      <c r="QN29" s="23"/>
      <c r="QO29" s="23"/>
      <c r="QP29" s="23"/>
      <c r="QQ29" s="23"/>
      <c r="QR29" s="23"/>
      <c r="QS29" s="23"/>
      <c r="QT29" s="23"/>
      <c r="QU29" s="23"/>
      <c r="QV29" s="23"/>
      <c r="QW29" s="23"/>
      <c r="QX29" s="23"/>
      <c r="QY29" s="23"/>
      <c r="QZ29" s="23"/>
    </row>
    <row r="30" spans="1:468" s="17" customFormat="1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  <c r="NA30" s="23"/>
      <c r="NB30" s="23"/>
      <c r="NC30" s="23"/>
      <c r="ND30" s="23"/>
      <c r="NE30" s="23"/>
      <c r="NF30" s="23"/>
      <c r="NG30" s="23"/>
      <c r="NH30" s="23"/>
      <c r="NI30" s="23"/>
      <c r="NJ30" s="23"/>
      <c r="NK30" s="23"/>
      <c r="NL30" s="23"/>
      <c r="NM30" s="23"/>
      <c r="NN30" s="23"/>
      <c r="NO30" s="23"/>
      <c r="NP30" s="23"/>
      <c r="NQ30" s="23"/>
      <c r="NR30" s="23"/>
      <c r="NS30" s="23"/>
      <c r="NT30" s="23"/>
      <c r="NU30" s="23"/>
      <c r="NV30" s="23"/>
      <c r="NW30" s="23"/>
      <c r="NX30" s="23"/>
      <c r="NY30" s="23"/>
      <c r="NZ30" s="23"/>
      <c r="OA30" s="23"/>
      <c r="OB30" s="23"/>
      <c r="OC30" s="23"/>
      <c r="OD30" s="23"/>
      <c r="OE30" s="23"/>
      <c r="OF30" s="23"/>
      <c r="OG30" s="23"/>
      <c r="OH30" s="23"/>
      <c r="OI30" s="23"/>
      <c r="OJ30" s="23"/>
      <c r="OK30" s="23"/>
      <c r="OL30" s="23"/>
      <c r="OM30" s="23"/>
      <c r="ON30" s="23"/>
      <c r="OO30" s="23"/>
      <c r="OP30" s="23"/>
      <c r="OQ30" s="23"/>
      <c r="OR30" s="23"/>
      <c r="OS30" s="23"/>
      <c r="OT30" s="23"/>
      <c r="OU30" s="23"/>
      <c r="OV30" s="23"/>
      <c r="OW30" s="23"/>
      <c r="OX30" s="23"/>
      <c r="OY30" s="23"/>
      <c r="OZ30" s="23"/>
      <c r="PA30" s="23"/>
      <c r="PB30" s="23"/>
      <c r="PC30" s="23"/>
      <c r="PD30" s="23"/>
      <c r="PE30" s="23"/>
      <c r="PF30" s="23"/>
      <c r="PG30" s="23"/>
      <c r="PH30" s="23"/>
      <c r="PI30" s="23"/>
      <c r="PJ30" s="23"/>
      <c r="PK30" s="23"/>
      <c r="PL30" s="23"/>
      <c r="PM30" s="23"/>
      <c r="PN30" s="23"/>
      <c r="PO30" s="23"/>
      <c r="PP30" s="23"/>
      <c r="PQ30" s="23"/>
      <c r="PR30" s="23"/>
      <c r="PS30" s="23"/>
      <c r="PT30" s="23"/>
      <c r="PU30" s="23"/>
      <c r="PV30" s="23"/>
      <c r="PW30" s="23"/>
      <c r="PX30" s="23"/>
      <c r="PY30" s="23"/>
      <c r="PZ30" s="23"/>
      <c r="QA30" s="23"/>
      <c r="QB30" s="23"/>
      <c r="QC30" s="23"/>
      <c r="QD30" s="23"/>
      <c r="QE30" s="23"/>
      <c r="QF30" s="23"/>
      <c r="QG30" s="23"/>
      <c r="QH30" s="23"/>
      <c r="QI30" s="23"/>
      <c r="QJ30" s="23"/>
      <c r="QK30" s="23"/>
      <c r="QL30" s="23"/>
      <c r="QM30" s="23"/>
      <c r="QN30" s="23"/>
      <c r="QO30" s="23"/>
      <c r="QP30" s="23"/>
      <c r="QQ30" s="23"/>
      <c r="QR30" s="23"/>
      <c r="QS30" s="23"/>
      <c r="QT30" s="23"/>
      <c r="QU30" s="23"/>
      <c r="QV30" s="23"/>
      <c r="QW30" s="23"/>
      <c r="QX30" s="23"/>
      <c r="QY30" s="23"/>
      <c r="QZ30" s="23"/>
    </row>
    <row r="31" spans="1:468" s="17" customFormat="1" ht="18" customHeight="1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  <c r="PJ31" s="23"/>
      <c r="PK31" s="23"/>
      <c r="PL31" s="23"/>
      <c r="PM31" s="23"/>
      <c r="PN31" s="23"/>
      <c r="PO31" s="23"/>
      <c r="PP31" s="23"/>
      <c r="PQ31" s="23"/>
      <c r="PR31" s="23"/>
      <c r="PS31" s="23"/>
      <c r="PT31" s="23"/>
      <c r="PU31" s="23"/>
      <c r="PV31" s="23"/>
      <c r="PW31" s="23"/>
      <c r="PX31" s="23"/>
      <c r="PY31" s="23"/>
      <c r="PZ31" s="23"/>
      <c r="QA31" s="23"/>
      <c r="QB31" s="23"/>
      <c r="QC31" s="23"/>
      <c r="QD31" s="23"/>
      <c r="QE31" s="23"/>
      <c r="QF31" s="23"/>
      <c r="QG31" s="23"/>
      <c r="QH31" s="23"/>
      <c r="QI31" s="23"/>
      <c r="QJ31" s="23"/>
      <c r="QK31" s="23"/>
      <c r="QL31" s="23"/>
      <c r="QM31" s="23"/>
      <c r="QN31" s="23"/>
      <c r="QO31" s="23"/>
      <c r="QP31" s="23"/>
      <c r="QQ31" s="23"/>
      <c r="QR31" s="23"/>
      <c r="QS31" s="23"/>
      <c r="QT31" s="23"/>
      <c r="QU31" s="23"/>
      <c r="QV31" s="23"/>
      <c r="QW31" s="23"/>
      <c r="QX31" s="23"/>
      <c r="QY31" s="23"/>
      <c r="QZ31" s="23"/>
    </row>
    <row r="32" spans="1:468" s="17" customFormat="1" ht="12.75" customHeigh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  <c r="NA32" s="23"/>
      <c r="NB32" s="23"/>
      <c r="NC32" s="23"/>
      <c r="ND32" s="23"/>
      <c r="NE32" s="23"/>
      <c r="NF32" s="23"/>
      <c r="NG32" s="23"/>
      <c r="NH32" s="23"/>
      <c r="NI32" s="23"/>
      <c r="NJ32" s="23"/>
      <c r="NK32" s="23"/>
      <c r="NL32" s="23"/>
      <c r="NM32" s="23"/>
      <c r="NN32" s="23"/>
      <c r="NO32" s="23"/>
      <c r="NP32" s="23"/>
      <c r="NQ32" s="23"/>
      <c r="NR32" s="23"/>
      <c r="NS32" s="23"/>
      <c r="NT32" s="23"/>
      <c r="NU32" s="23"/>
      <c r="NV32" s="23"/>
      <c r="NW32" s="23"/>
      <c r="NX32" s="23"/>
      <c r="NY32" s="23"/>
      <c r="NZ32" s="23"/>
      <c r="OA32" s="23"/>
      <c r="OB32" s="23"/>
      <c r="OC32" s="23"/>
      <c r="OD32" s="23"/>
      <c r="OE32" s="23"/>
      <c r="OF32" s="23"/>
      <c r="OG32" s="23"/>
      <c r="OH32" s="23"/>
      <c r="OI32" s="23"/>
      <c r="OJ32" s="23"/>
      <c r="OK32" s="23"/>
      <c r="OL32" s="23"/>
      <c r="OM32" s="23"/>
      <c r="ON32" s="23"/>
      <c r="OO32" s="23"/>
      <c r="OP32" s="23"/>
      <c r="OQ32" s="23"/>
      <c r="OR32" s="23"/>
      <c r="OS32" s="23"/>
      <c r="OT32" s="23"/>
      <c r="OU32" s="23"/>
      <c r="OV32" s="23"/>
      <c r="OW32" s="23"/>
      <c r="OX32" s="23"/>
      <c r="OY32" s="23"/>
      <c r="OZ32" s="23"/>
      <c r="PA32" s="23"/>
      <c r="PB32" s="23"/>
      <c r="PC32" s="23"/>
      <c r="PD32" s="23"/>
      <c r="PE32" s="23"/>
      <c r="PF32" s="23"/>
      <c r="PG32" s="23"/>
      <c r="PH32" s="23"/>
      <c r="PI32" s="23"/>
      <c r="PJ32" s="23"/>
      <c r="PK32" s="23"/>
      <c r="PL32" s="23"/>
      <c r="PM32" s="23"/>
      <c r="PN32" s="23"/>
      <c r="PO32" s="23"/>
      <c r="PP32" s="23"/>
      <c r="PQ32" s="23"/>
      <c r="PR32" s="23"/>
      <c r="PS32" s="23"/>
      <c r="PT32" s="23"/>
      <c r="PU32" s="23"/>
      <c r="PV32" s="23"/>
      <c r="PW32" s="23"/>
      <c r="PX32" s="23"/>
      <c r="PY32" s="23"/>
      <c r="PZ32" s="23"/>
      <c r="QA32" s="23"/>
      <c r="QB32" s="23"/>
      <c r="QC32" s="23"/>
      <c r="QD32" s="23"/>
      <c r="QE32" s="23"/>
      <c r="QF32" s="23"/>
      <c r="QG32" s="23"/>
      <c r="QH32" s="23"/>
      <c r="QI32" s="23"/>
      <c r="QJ32" s="23"/>
      <c r="QK32" s="23"/>
      <c r="QL32" s="23"/>
      <c r="QM32" s="23"/>
      <c r="QN32" s="23"/>
      <c r="QO32" s="23"/>
      <c r="QP32" s="23"/>
      <c r="QQ32" s="23"/>
      <c r="QR32" s="23"/>
      <c r="QS32" s="23"/>
      <c r="QT32" s="23"/>
      <c r="QU32" s="23"/>
      <c r="QV32" s="23"/>
      <c r="QW32" s="23"/>
      <c r="QX32" s="23"/>
      <c r="QY32" s="23"/>
      <c r="QZ32" s="23"/>
    </row>
    <row r="33" spans="1:468" s="17" customFormat="1" ht="12.75" customHeight="1" x14ac:dyDescent="0.25">
      <c r="A33" s="23"/>
      <c r="B33" s="23"/>
      <c r="C33" s="23"/>
      <c r="D33" s="23"/>
      <c r="E33" s="23"/>
      <c r="F33" s="23"/>
      <c r="G33" s="23"/>
      <c r="H33" s="224" t="s">
        <v>56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  <c r="NA33" s="23"/>
      <c r="NB33" s="23"/>
      <c r="NC33" s="23"/>
      <c r="ND33" s="23"/>
      <c r="NE33" s="23"/>
      <c r="NF33" s="23"/>
      <c r="NG33" s="23"/>
      <c r="NH33" s="23"/>
      <c r="NI33" s="23"/>
      <c r="NJ33" s="23"/>
      <c r="NK33" s="23"/>
      <c r="NL33" s="23"/>
      <c r="NM33" s="23"/>
      <c r="NN33" s="23"/>
      <c r="NO33" s="23"/>
      <c r="NP33" s="23"/>
      <c r="NQ33" s="23"/>
      <c r="NR33" s="23"/>
      <c r="NS33" s="23"/>
      <c r="NT33" s="23"/>
      <c r="NU33" s="23"/>
      <c r="NV33" s="23"/>
      <c r="NW33" s="23"/>
      <c r="NX33" s="23"/>
      <c r="NY33" s="23"/>
      <c r="NZ33" s="23"/>
      <c r="OA33" s="23"/>
      <c r="OB33" s="23"/>
      <c r="OC33" s="23"/>
      <c r="OD33" s="23"/>
      <c r="OE33" s="23"/>
      <c r="OF33" s="23"/>
      <c r="OG33" s="23"/>
      <c r="OH33" s="23"/>
      <c r="OI33" s="23"/>
      <c r="OJ33" s="23"/>
      <c r="OK33" s="23"/>
      <c r="OL33" s="23"/>
      <c r="OM33" s="23"/>
      <c r="ON33" s="23"/>
      <c r="OO33" s="23"/>
      <c r="OP33" s="23"/>
      <c r="OQ33" s="23"/>
      <c r="OR33" s="23"/>
      <c r="OS33" s="23"/>
      <c r="OT33" s="23"/>
      <c r="OU33" s="23"/>
      <c r="OV33" s="23"/>
      <c r="OW33" s="23"/>
      <c r="OX33" s="23"/>
      <c r="OY33" s="23"/>
      <c r="OZ33" s="23"/>
      <c r="PA33" s="23"/>
      <c r="PB33" s="23"/>
      <c r="PC33" s="23"/>
      <c r="PD33" s="23"/>
      <c r="PE33" s="23"/>
      <c r="PF33" s="23"/>
      <c r="PG33" s="23"/>
      <c r="PH33" s="23"/>
      <c r="PI33" s="23"/>
      <c r="PJ33" s="23"/>
      <c r="PK33" s="23"/>
      <c r="PL33" s="23"/>
      <c r="PM33" s="23"/>
      <c r="PN33" s="23"/>
      <c r="PO33" s="23"/>
      <c r="PP33" s="23"/>
      <c r="PQ33" s="23"/>
      <c r="PR33" s="23"/>
      <c r="PS33" s="23"/>
      <c r="PT33" s="23"/>
      <c r="PU33" s="23"/>
      <c r="PV33" s="23"/>
      <c r="PW33" s="23"/>
      <c r="PX33" s="23"/>
      <c r="PY33" s="23"/>
      <c r="PZ33" s="23"/>
      <c r="QA33" s="23"/>
      <c r="QB33" s="23"/>
      <c r="QC33" s="23"/>
      <c r="QD33" s="23"/>
      <c r="QE33" s="23"/>
      <c r="QF33" s="23"/>
      <c r="QG33" s="23"/>
      <c r="QH33" s="23"/>
      <c r="QI33" s="23"/>
      <c r="QJ33" s="23"/>
      <c r="QK33" s="23"/>
      <c r="QL33" s="23"/>
      <c r="QM33" s="23"/>
      <c r="QN33" s="23"/>
      <c r="QO33" s="23"/>
      <c r="QP33" s="23"/>
      <c r="QQ33" s="23"/>
      <c r="QR33" s="23"/>
      <c r="QS33" s="23"/>
      <c r="QT33" s="23"/>
      <c r="QU33" s="23"/>
      <c r="QV33" s="23"/>
      <c r="QW33" s="23"/>
      <c r="QX33" s="23"/>
      <c r="QY33" s="23"/>
      <c r="QZ33" s="23"/>
    </row>
    <row r="34" spans="1:468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99" t="s">
        <v>55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3"/>
      <c r="NH34" s="23"/>
      <c r="NI34" s="23"/>
      <c r="NJ34" s="23"/>
      <c r="NK34" s="23"/>
      <c r="NL34" s="23"/>
      <c r="NM34" s="23"/>
      <c r="NN34" s="23"/>
      <c r="NO34" s="23"/>
      <c r="NP34" s="23"/>
      <c r="NQ34" s="23"/>
      <c r="NR34" s="23"/>
      <c r="NS34" s="23"/>
      <c r="NT34" s="23"/>
      <c r="NU34" s="23"/>
      <c r="NV34" s="23"/>
      <c r="NW34" s="23"/>
      <c r="NX34" s="23"/>
      <c r="NY34" s="23"/>
      <c r="NZ34" s="23"/>
      <c r="OA34" s="23"/>
      <c r="OB34" s="23"/>
      <c r="OC34" s="23"/>
      <c r="OD34" s="23"/>
      <c r="OE34" s="23"/>
      <c r="OF34" s="23"/>
      <c r="OG34" s="23"/>
      <c r="OH34" s="23"/>
      <c r="OI34" s="23"/>
      <c r="OJ34" s="23"/>
      <c r="OK34" s="23"/>
      <c r="OL34" s="23"/>
      <c r="OM34" s="23"/>
      <c r="ON34" s="23"/>
      <c r="OO34" s="23"/>
      <c r="OP34" s="23"/>
      <c r="OQ34" s="23"/>
      <c r="OR34" s="23"/>
      <c r="OS34" s="23"/>
      <c r="OT34" s="23"/>
      <c r="OU34" s="23"/>
      <c r="OV34" s="23"/>
      <c r="OW34" s="23"/>
      <c r="OX34" s="23"/>
      <c r="OY34" s="23"/>
      <c r="OZ34" s="23"/>
      <c r="PA34" s="23"/>
      <c r="PB34" s="23"/>
      <c r="PC34" s="23"/>
      <c r="PD34" s="23"/>
      <c r="PE34" s="23"/>
      <c r="PF34" s="23"/>
      <c r="PG34" s="23"/>
      <c r="PH34" s="23"/>
      <c r="PI34" s="23"/>
      <c r="PJ34" s="23"/>
      <c r="PK34" s="23"/>
      <c r="PL34" s="23"/>
      <c r="PM34" s="23"/>
      <c r="PN34" s="23"/>
      <c r="PO34" s="23"/>
      <c r="PP34" s="23"/>
      <c r="PQ34" s="23"/>
      <c r="PR34" s="23"/>
      <c r="PS34" s="23"/>
      <c r="PT34" s="23"/>
      <c r="PU34" s="23"/>
      <c r="PV34" s="23"/>
      <c r="PW34" s="23"/>
      <c r="PX34" s="23"/>
      <c r="PY34" s="23"/>
      <c r="PZ34" s="23"/>
      <c r="QA34" s="23"/>
      <c r="QB34" s="23"/>
      <c r="QC34" s="23"/>
      <c r="QD34" s="23"/>
      <c r="QE34" s="23"/>
      <c r="QF34" s="23"/>
      <c r="QG34" s="23"/>
      <c r="QH34" s="23"/>
      <c r="QI34" s="23"/>
      <c r="QJ34" s="23"/>
      <c r="QK34" s="23"/>
      <c r="QL34" s="23"/>
      <c r="QM34" s="23"/>
      <c r="QN34" s="23"/>
      <c r="QO34" s="23"/>
      <c r="QP34" s="23"/>
      <c r="QQ34" s="23"/>
      <c r="QR34" s="23"/>
      <c r="QS34" s="23"/>
      <c r="QT34" s="23"/>
      <c r="QU34" s="23"/>
      <c r="QV34" s="23"/>
      <c r="QW34" s="23"/>
      <c r="QX34" s="23"/>
      <c r="QY34" s="23"/>
      <c r="QZ34" s="23"/>
    </row>
    <row r="35" spans="1:46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68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3"/>
      <c r="NC35" s="23"/>
      <c r="ND35" s="23"/>
      <c r="NE35" s="23"/>
      <c r="NF35" s="23"/>
      <c r="NG35" s="23"/>
      <c r="NH35" s="23"/>
      <c r="NI35" s="23"/>
      <c r="NJ35" s="23"/>
      <c r="NK35" s="23"/>
      <c r="NL35" s="23"/>
      <c r="NM35" s="23"/>
      <c r="NN35" s="23"/>
      <c r="NO35" s="23"/>
      <c r="NP35" s="23"/>
      <c r="NQ35" s="23"/>
      <c r="NR35" s="23"/>
      <c r="NS35" s="23"/>
      <c r="NT35" s="23"/>
      <c r="NU35" s="23"/>
      <c r="NV35" s="23"/>
      <c r="NW35" s="23"/>
      <c r="NX35" s="23"/>
      <c r="NY35" s="23"/>
      <c r="NZ35" s="23"/>
      <c r="OA35" s="23"/>
      <c r="OB35" s="23"/>
      <c r="OC35" s="23"/>
      <c r="OD35" s="23"/>
      <c r="OE35" s="23"/>
      <c r="OF35" s="23"/>
      <c r="OG35" s="23"/>
      <c r="OH35" s="23"/>
      <c r="OI35" s="23"/>
      <c r="OJ35" s="23"/>
      <c r="OK35" s="23"/>
      <c r="OL35" s="23"/>
      <c r="OM35" s="23"/>
      <c r="ON35" s="23"/>
      <c r="OO35" s="23"/>
      <c r="OP35" s="23"/>
      <c r="OQ35" s="23"/>
      <c r="OR35" s="23"/>
      <c r="OS35" s="23"/>
      <c r="OT35" s="23"/>
      <c r="OU35" s="23"/>
      <c r="OV35" s="23"/>
      <c r="OW35" s="23"/>
      <c r="OX35" s="23"/>
      <c r="OY35" s="23"/>
      <c r="OZ35" s="23"/>
      <c r="PA35" s="23"/>
      <c r="PB35" s="23"/>
      <c r="PC35" s="23"/>
      <c r="PD35" s="23"/>
      <c r="PE35" s="23"/>
      <c r="PF35" s="23"/>
      <c r="PG35" s="23"/>
      <c r="PH35" s="23"/>
      <c r="PI35" s="23"/>
      <c r="PJ35" s="23"/>
      <c r="PK35" s="23"/>
      <c r="PL35" s="23"/>
      <c r="PM35" s="23"/>
      <c r="PN35" s="23"/>
      <c r="PO35" s="23"/>
      <c r="PP35" s="23"/>
      <c r="PQ35" s="23"/>
      <c r="PR35" s="23"/>
      <c r="PS35" s="23"/>
      <c r="PT35" s="23"/>
      <c r="PU35" s="23"/>
      <c r="PV35" s="23"/>
      <c r="PW35" s="23"/>
      <c r="PX35" s="23"/>
      <c r="PY35" s="23"/>
      <c r="PZ35" s="23"/>
      <c r="QA35" s="23"/>
      <c r="QB35" s="23"/>
      <c r="QC35" s="23"/>
      <c r="QD35" s="23"/>
      <c r="QE35" s="23"/>
      <c r="QF35" s="23"/>
      <c r="QG35" s="23"/>
      <c r="QH35" s="23"/>
      <c r="QI35" s="23"/>
      <c r="QJ35" s="23"/>
      <c r="QK35" s="23"/>
      <c r="QL35" s="23"/>
      <c r="QM35" s="23"/>
      <c r="QN35" s="23"/>
      <c r="QO35" s="23"/>
      <c r="QP35" s="23"/>
      <c r="QQ35" s="23"/>
      <c r="QR35" s="23"/>
      <c r="QS35" s="23"/>
      <c r="QT35" s="23"/>
      <c r="QU35" s="23"/>
      <c r="QV35" s="23"/>
      <c r="QW35" s="23"/>
      <c r="QX35" s="23"/>
      <c r="QY35" s="23"/>
      <c r="QZ35" s="23"/>
    </row>
    <row r="36" spans="1:46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  <c r="KS36" s="23"/>
      <c r="KT36" s="23"/>
      <c r="KU36" s="23"/>
      <c r="KV36" s="23"/>
      <c r="KW36" s="23"/>
      <c r="KX36" s="23"/>
      <c r="KY36" s="23"/>
      <c r="KZ36" s="23"/>
      <c r="LA36" s="23"/>
      <c r="LB36" s="23"/>
      <c r="LC36" s="23"/>
      <c r="LD36" s="23"/>
      <c r="LE36" s="23"/>
      <c r="LF36" s="23"/>
      <c r="LG36" s="23"/>
      <c r="LH36" s="23"/>
      <c r="LI36" s="23"/>
      <c r="LJ36" s="23"/>
      <c r="LK36" s="23"/>
      <c r="LL36" s="23"/>
      <c r="LM36" s="23"/>
      <c r="LN36" s="23"/>
      <c r="LO36" s="23"/>
      <c r="LP36" s="23"/>
      <c r="LQ36" s="23"/>
      <c r="LR36" s="23"/>
      <c r="LS36" s="23"/>
      <c r="LT36" s="23"/>
      <c r="LU36" s="23"/>
      <c r="LV36" s="23"/>
      <c r="LW36" s="23"/>
      <c r="LX36" s="23"/>
      <c r="LY36" s="23"/>
      <c r="LZ36" s="23"/>
      <c r="MA36" s="23"/>
      <c r="MB36" s="23"/>
      <c r="MC36" s="23"/>
      <c r="MD36" s="23"/>
      <c r="ME36" s="23"/>
      <c r="MF36" s="23"/>
      <c r="MG36" s="23"/>
      <c r="MH36" s="23"/>
      <c r="MI36" s="23"/>
      <c r="MJ36" s="23"/>
      <c r="MK36" s="23"/>
      <c r="ML36" s="23"/>
      <c r="MM36" s="23"/>
      <c r="MN36" s="23"/>
      <c r="MO36" s="23"/>
      <c r="MP36" s="23"/>
      <c r="MQ36" s="23"/>
      <c r="MR36" s="23"/>
      <c r="MS36" s="23"/>
      <c r="MT36" s="23"/>
      <c r="MU36" s="23"/>
      <c r="MV36" s="23"/>
      <c r="MW36" s="23"/>
      <c r="MX36" s="23"/>
      <c r="MY36" s="23"/>
      <c r="MZ36" s="23"/>
      <c r="NA36" s="23"/>
      <c r="NB36" s="23"/>
      <c r="NC36" s="23"/>
      <c r="ND36" s="23"/>
      <c r="NE36" s="23"/>
      <c r="NF36" s="23"/>
      <c r="NG36" s="23"/>
      <c r="NH36" s="23"/>
      <c r="NI36" s="23"/>
      <c r="NJ36" s="23"/>
      <c r="NK36" s="23"/>
      <c r="NL36" s="23"/>
      <c r="NM36" s="23"/>
      <c r="NN36" s="23"/>
      <c r="NO36" s="23"/>
      <c r="NP36" s="23"/>
      <c r="NQ36" s="23"/>
      <c r="NR36" s="23"/>
      <c r="NS36" s="23"/>
      <c r="NT36" s="23"/>
      <c r="NU36" s="23"/>
      <c r="NV36" s="23"/>
      <c r="NW36" s="23"/>
      <c r="NX36" s="23"/>
      <c r="NY36" s="23"/>
      <c r="NZ36" s="23"/>
      <c r="OA36" s="23"/>
      <c r="OB36" s="23"/>
      <c r="OC36" s="23"/>
      <c r="OD36" s="23"/>
      <c r="OE36" s="23"/>
      <c r="OF36" s="23"/>
      <c r="OG36" s="23"/>
      <c r="OH36" s="23"/>
      <c r="OI36" s="23"/>
      <c r="OJ36" s="23"/>
      <c r="OK36" s="23"/>
      <c r="OL36" s="23"/>
      <c r="OM36" s="23"/>
      <c r="ON36" s="23"/>
      <c r="OO36" s="23"/>
      <c r="OP36" s="23"/>
      <c r="OQ36" s="23"/>
      <c r="OR36" s="23"/>
      <c r="OS36" s="23"/>
      <c r="OT36" s="23"/>
      <c r="OU36" s="23"/>
      <c r="OV36" s="23"/>
      <c r="OW36" s="23"/>
      <c r="OX36" s="23"/>
      <c r="OY36" s="23"/>
      <c r="OZ36" s="23"/>
      <c r="PA36" s="23"/>
      <c r="PB36" s="23"/>
      <c r="PC36" s="23"/>
      <c r="PD36" s="23"/>
      <c r="PE36" s="23"/>
      <c r="PF36" s="23"/>
      <c r="PG36" s="23"/>
      <c r="PH36" s="23"/>
      <c r="PI36" s="23"/>
      <c r="PJ36" s="23"/>
      <c r="PK36" s="23"/>
      <c r="PL36" s="23"/>
      <c r="PM36" s="23"/>
      <c r="PN36" s="23"/>
      <c r="PO36" s="23"/>
      <c r="PP36" s="23"/>
      <c r="PQ36" s="23"/>
      <c r="PR36" s="23"/>
      <c r="PS36" s="23"/>
      <c r="PT36" s="23"/>
      <c r="PU36" s="23"/>
      <c r="PV36" s="23"/>
      <c r="PW36" s="23"/>
      <c r="PX36" s="23"/>
      <c r="PY36" s="23"/>
      <c r="PZ36" s="23"/>
      <c r="QA36" s="23"/>
      <c r="QB36" s="23"/>
      <c r="QC36" s="23"/>
      <c r="QD36" s="23"/>
      <c r="QE36" s="23"/>
      <c r="QF36" s="23"/>
      <c r="QG36" s="23"/>
      <c r="QH36" s="23"/>
      <c r="QI36" s="23"/>
      <c r="QJ36" s="23"/>
      <c r="QK36" s="23"/>
      <c r="QL36" s="23"/>
      <c r="QM36" s="23"/>
      <c r="QN36" s="23"/>
      <c r="QO36" s="23"/>
      <c r="QP36" s="23"/>
      <c r="QQ36" s="23"/>
      <c r="QR36" s="23"/>
      <c r="QS36" s="23"/>
      <c r="QT36" s="23"/>
      <c r="QU36" s="23"/>
      <c r="QV36" s="23"/>
      <c r="QW36" s="23"/>
      <c r="QX36" s="23"/>
      <c r="QY36" s="23"/>
      <c r="QZ36" s="23"/>
    </row>
    <row r="37" spans="1:46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59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  <c r="KH37" s="23"/>
      <c r="KI37" s="23"/>
      <c r="KJ37" s="23"/>
      <c r="KK37" s="23"/>
      <c r="KL37" s="23"/>
      <c r="KM37" s="23"/>
      <c r="KN37" s="23"/>
      <c r="KO37" s="23"/>
      <c r="KP37" s="23"/>
      <c r="KQ37" s="23"/>
      <c r="KR37" s="23"/>
      <c r="KS37" s="23"/>
      <c r="KT37" s="23"/>
      <c r="KU37" s="23"/>
      <c r="KV37" s="23"/>
      <c r="KW37" s="23"/>
      <c r="KX37" s="23"/>
      <c r="KY37" s="23"/>
      <c r="KZ37" s="23"/>
      <c r="LA37" s="23"/>
      <c r="LB37" s="23"/>
      <c r="LC37" s="23"/>
      <c r="LD37" s="23"/>
      <c r="LE37" s="23"/>
      <c r="LF37" s="23"/>
      <c r="LG37" s="23"/>
      <c r="LH37" s="23"/>
      <c r="LI37" s="23"/>
      <c r="LJ37" s="23"/>
      <c r="LK37" s="23"/>
      <c r="LL37" s="23"/>
      <c r="LM37" s="23"/>
      <c r="LN37" s="23"/>
      <c r="LO37" s="23"/>
      <c r="LP37" s="23"/>
      <c r="LQ37" s="23"/>
      <c r="LR37" s="23"/>
      <c r="LS37" s="23"/>
      <c r="LT37" s="23"/>
      <c r="LU37" s="23"/>
      <c r="LV37" s="23"/>
      <c r="LW37" s="23"/>
      <c r="LX37" s="23"/>
      <c r="LY37" s="23"/>
      <c r="LZ37" s="23"/>
      <c r="MA37" s="23"/>
      <c r="MB37" s="23"/>
      <c r="MC37" s="23"/>
      <c r="MD37" s="23"/>
      <c r="ME37" s="23"/>
      <c r="MF37" s="23"/>
      <c r="MG37" s="23"/>
      <c r="MH37" s="23"/>
      <c r="MI37" s="23"/>
      <c r="MJ37" s="23"/>
      <c r="MK37" s="23"/>
      <c r="ML37" s="23"/>
      <c r="MM37" s="23"/>
      <c r="MN37" s="23"/>
      <c r="MO37" s="23"/>
      <c r="MP37" s="23"/>
      <c r="MQ37" s="23"/>
      <c r="MR37" s="23"/>
      <c r="MS37" s="23"/>
      <c r="MT37" s="23"/>
      <c r="MU37" s="23"/>
      <c r="MV37" s="23"/>
      <c r="MW37" s="23"/>
      <c r="MX37" s="23"/>
      <c r="MY37" s="23"/>
      <c r="MZ37" s="23"/>
      <c r="NA37" s="23"/>
      <c r="NB37" s="23"/>
      <c r="NC37" s="23"/>
      <c r="ND37" s="23"/>
      <c r="NE37" s="23"/>
      <c r="NF37" s="23"/>
      <c r="NG37" s="23"/>
      <c r="NH37" s="23"/>
      <c r="NI37" s="23"/>
      <c r="NJ37" s="23"/>
      <c r="NK37" s="23"/>
      <c r="NL37" s="23"/>
      <c r="NM37" s="23"/>
      <c r="NN37" s="23"/>
      <c r="NO37" s="23"/>
      <c r="NP37" s="23"/>
      <c r="NQ37" s="23"/>
      <c r="NR37" s="23"/>
      <c r="NS37" s="23"/>
      <c r="NT37" s="23"/>
      <c r="NU37" s="23"/>
      <c r="NV37" s="23"/>
      <c r="NW37" s="23"/>
      <c r="NX37" s="23"/>
      <c r="NY37" s="23"/>
      <c r="NZ37" s="23"/>
      <c r="OA37" s="23"/>
      <c r="OB37" s="23"/>
      <c r="OC37" s="23"/>
      <c r="OD37" s="23"/>
      <c r="OE37" s="23"/>
      <c r="OF37" s="23"/>
      <c r="OG37" s="23"/>
      <c r="OH37" s="23"/>
      <c r="OI37" s="23"/>
      <c r="OJ37" s="23"/>
      <c r="OK37" s="23"/>
      <c r="OL37" s="23"/>
      <c r="OM37" s="23"/>
      <c r="ON37" s="23"/>
      <c r="OO37" s="23"/>
      <c r="OP37" s="23"/>
      <c r="OQ37" s="23"/>
      <c r="OR37" s="23"/>
      <c r="OS37" s="23"/>
      <c r="OT37" s="23"/>
      <c r="OU37" s="23"/>
      <c r="OV37" s="23"/>
      <c r="OW37" s="23"/>
      <c r="OX37" s="23"/>
      <c r="OY37" s="23"/>
      <c r="OZ37" s="23"/>
      <c r="PA37" s="23"/>
      <c r="PB37" s="23"/>
      <c r="PC37" s="23"/>
      <c r="PD37" s="23"/>
      <c r="PE37" s="23"/>
      <c r="PF37" s="23"/>
      <c r="PG37" s="23"/>
      <c r="PH37" s="23"/>
      <c r="PI37" s="23"/>
      <c r="PJ37" s="23"/>
      <c r="PK37" s="23"/>
      <c r="PL37" s="23"/>
      <c r="PM37" s="23"/>
      <c r="PN37" s="23"/>
      <c r="PO37" s="23"/>
      <c r="PP37" s="23"/>
      <c r="PQ37" s="23"/>
      <c r="PR37" s="23"/>
      <c r="PS37" s="23"/>
      <c r="PT37" s="23"/>
      <c r="PU37" s="23"/>
      <c r="PV37" s="23"/>
      <c r="PW37" s="23"/>
      <c r="PX37" s="23"/>
      <c r="PY37" s="23"/>
      <c r="PZ37" s="23"/>
      <c r="QA37" s="23"/>
      <c r="QB37" s="23"/>
      <c r="QC37" s="23"/>
      <c r="QD37" s="23"/>
      <c r="QE37" s="23"/>
      <c r="QF37" s="23"/>
      <c r="QG37" s="23"/>
      <c r="QH37" s="23"/>
      <c r="QI37" s="23"/>
      <c r="QJ37" s="23"/>
      <c r="QK37" s="23"/>
      <c r="QL37" s="23"/>
      <c r="QM37" s="23"/>
      <c r="QN37" s="23"/>
      <c r="QO37" s="23"/>
      <c r="QP37" s="23"/>
      <c r="QQ37" s="23"/>
      <c r="QR37" s="23"/>
      <c r="QS37" s="23"/>
      <c r="QT37" s="23"/>
      <c r="QU37" s="23"/>
      <c r="QV37" s="23"/>
      <c r="QW37" s="23"/>
      <c r="QX37" s="23"/>
      <c r="QY37" s="23"/>
      <c r="QZ37" s="23"/>
    </row>
    <row r="38" spans="1:46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3"/>
      <c r="NI38" s="23"/>
      <c r="NJ38" s="23"/>
      <c r="NK38" s="23"/>
      <c r="NL38" s="23"/>
      <c r="NM38" s="23"/>
      <c r="NN38" s="23"/>
      <c r="NO38" s="23"/>
      <c r="NP38" s="23"/>
      <c r="NQ38" s="23"/>
      <c r="NR38" s="23"/>
      <c r="NS38" s="23"/>
      <c r="NT38" s="23"/>
      <c r="NU38" s="23"/>
      <c r="NV38" s="23"/>
      <c r="NW38" s="23"/>
      <c r="NX38" s="23"/>
      <c r="NY38" s="23"/>
      <c r="NZ38" s="23"/>
      <c r="OA38" s="23"/>
      <c r="OB38" s="23"/>
      <c r="OC38" s="23"/>
      <c r="OD38" s="23"/>
      <c r="OE38" s="23"/>
      <c r="OF38" s="23"/>
      <c r="OG38" s="23"/>
      <c r="OH38" s="23"/>
      <c r="OI38" s="23"/>
      <c r="OJ38" s="23"/>
      <c r="OK38" s="23"/>
      <c r="OL38" s="23"/>
      <c r="OM38" s="23"/>
      <c r="ON38" s="23"/>
      <c r="OO38" s="23"/>
      <c r="OP38" s="23"/>
      <c r="OQ38" s="23"/>
      <c r="OR38" s="23"/>
      <c r="OS38" s="23"/>
      <c r="OT38" s="23"/>
      <c r="OU38" s="23"/>
      <c r="OV38" s="23"/>
      <c r="OW38" s="23"/>
      <c r="OX38" s="23"/>
      <c r="OY38" s="23"/>
      <c r="OZ38" s="23"/>
      <c r="PA38" s="23"/>
      <c r="PB38" s="23"/>
      <c r="PC38" s="23"/>
      <c r="PD38" s="23"/>
      <c r="PE38" s="23"/>
      <c r="PF38" s="23"/>
      <c r="PG38" s="23"/>
      <c r="PH38" s="23"/>
      <c r="PI38" s="23"/>
      <c r="PJ38" s="23"/>
      <c r="PK38" s="23"/>
      <c r="PL38" s="23"/>
      <c r="PM38" s="23"/>
      <c r="PN38" s="23"/>
      <c r="PO38" s="23"/>
      <c r="PP38" s="23"/>
      <c r="PQ38" s="23"/>
      <c r="PR38" s="23"/>
      <c r="PS38" s="23"/>
      <c r="PT38" s="23"/>
      <c r="PU38" s="23"/>
      <c r="PV38" s="23"/>
      <c r="PW38" s="23"/>
      <c r="PX38" s="23"/>
      <c r="PY38" s="23"/>
      <c r="PZ38" s="23"/>
      <c r="QA38" s="23"/>
      <c r="QB38" s="23"/>
      <c r="QC38" s="23"/>
      <c r="QD38" s="23"/>
      <c r="QE38" s="23"/>
      <c r="QF38" s="23"/>
      <c r="QG38" s="23"/>
      <c r="QH38" s="23"/>
      <c r="QI38" s="23"/>
      <c r="QJ38" s="23"/>
      <c r="QK38" s="23"/>
      <c r="QL38" s="23"/>
      <c r="QM38" s="23"/>
      <c r="QN38" s="23"/>
      <c r="QO38" s="23"/>
      <c r="QP38" s="23"/>
      <c r="QQ38" s="23"/>
      <c r="QR38" s="23"/>
      <c r="QS38" s="23"/>
      <c r="QT38" s="23"/>
      <c r="QU38" s="23"/>
      <c r="QV38" s="23"/>
      <c r="QW38" s="23"/>
      <c r="QX38" s="23"/>
      <c r="QY38" s="23"/>
      <c r="QZ38" s="23"/>
    </row>
    <row r="39" spans="1:46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  <c r="IX39" s="23"/>
      <c r="IY39" s="23"/>
      <c r="IZ39" s="23"/>
      <c r="JA39" s="23"/>
      <c r="JB39" s="23"/>
      <c r="JC39" s="23"/>
      <c r="JD39" s="23"/>
      <c r="JE39" s="23"/>
      <c r="JF39" s="23"/>
      <c r="JG39" s="23"/>
      <c r="JH39" s="23"/>
      <c r="JI39" s="23"/>
      <c r="JJ39" s="23"/>
      <c r="JK39" s="23"/>
      <c r="JL39" s="23"/>
      <c r="JM39" s="23"/>
      <c r="JN39" s="23"/>
      <c r="JO39" s="23"/>
      <c r="JP39" s="23"/>
      <c r="JQ39" s="23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3"/>
      <c r="NI39" s="23"/>
      <c r="NJ39" s="23"/>
      <c r="NK39" s="23"/>
      <c r="NL39" s="23"/>
      <c r="NM39" s="23"/>
      <c r="NN39" s="23"/>
      <c r="NO39" s="23"/>
      <c r="NP39" s="23"/>
      <c r="NQ39" s="23"/>
      <c r="NR39" s="23"/>
      <c r="NS39" s="23"/>
      <c r="NT39" s="23"/>
      <c r="NU39" s="23"/>
      <c r="NV39" s="23"/>
      <c r="NW39" s="23"/>
      <c r="NX39" s="23"/>
      <c r="NY39" s="23"/>
      <c r="NZ39" s="23"/>
      <c r="OA39" s="23"/>
      <c r="OB39" s="23"/>
      <c r="OC39" s="23"/>
      <c r="OD39" s="23"/>
      <c r="OE39" s="23"/>
      <c r="OF39" s="23"/>
      <c r="OG39" s="23"/>
      <c r="OH39" s="23"/>
      <c r="OI39" s="23"/>
      <c r="OJ39" s="23"/>
      <c r="OK39" s="23"/>
      <c r="OL39" s="23"/>
      <c r="OM39" s="23"/>
      <c r="ON39" s="23"/>
      <c r="OO39" s="23"/>
      <c r="OP39" s="23"/>
      <c r="OQ39" s="23"/>
      <c r="OR39" s="23"/>
      <c r="OS39" s="23"/>
      <c r="OT39" s="23"/>
      <c r="OU39" s="23"/>
      <c r="OV39" s="23"/>
      <c r="OW39" s="23"/>
      <c r="OX39" s="23"/>
      <c r="OY39" s="23"/>
      <c r="OZ39" s="23"/>
      <c r="PA39" s="23"/>
      <c r="PB39" s="23"/>
      <c r="PC39" s="23"/>
      <c r="PD39" s="23"/>
      <c r="PE39" s="23"/>
      <c r="PF39" s="23"/>
      <c r="PG39" s="23"/>
      <c r="PH39" s="23"/>
      <c r="PI39" s="23"/>
      <c r="PJ39" s="23"/>
      <c r="PK39" s="23"/>
      <c r="PL39" s="23"/>
      <c r="PM39" s="23"/>
      <c r="PN39" s="23"/>
      <c r="PO39" s="23"/>
      <c r="PP39" s="23"/>
      <c r="PQ39" s="23"/>
      <c r="PR39" s="23"/>
      <c r="PS39" s="23"/>
      <c r="PT39" s="23"/>
      <c r="PU39" s="23"/>
      <c r="PV39" s="23"/>
      <c r="PW39" s="23"/>
      <c r="PX39" s="23"/>
      <c r="PY39" s="23"/>
      <c r="PZ39" s="23"/>
      <c r="QA39" s="23"/>
      <c r="QB39" s="23"/>
      <c r="QC39" s="23"/>
      <c r="QD39" s="23"/>
      <c r="QE39" s="23"/>
      <c r="QF39" s="23"/>
      <c r="QG39" s="23"/>
      <c r="QH39" s="23"/>
      <c r="QI39" s="23"/>
      <c r="QJ39" s="23"/>
      <c r="QK39" s="23"/>
      <c r="QL39" s="23"/>
      <c r="QM39" s="23"/>
      <c r="QN39" s="23"/>
      <c r="QO39" s="23"/>
      <c r="QP39" s="23"/>
      <c r="QQ39" s="23"/>
      <c r="QR39" s="23"/>
      <c r="QS39" s="23"/>
      <c r="QT39" s="23"/>
      <c r="QU39" s="23"/>
      <c r="QV39" s="23"/>
      <c r="QW39" s="23"/>
      <c r="QX39" s="23"/>
      <c r="QY39" s="23"/>
      <c r="QZ39" s="23"/>
    </row>
    <row r="40" spans="1:468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  <c r="IX40" s="23"/>
      <c r="IY40" s="23"/>
      <c r="IZ40" s="23"/>
      <c r="JA40" s="23"/>
      <c r="JB40" s="23"/>
      <c r="JC40" s="23"/>
      <c r="JD40" s="23"/>
      <c r="JE40" s="23"/>
      <c r="JF40" s="23"/>
      <c r="JG40" s="23"/>
      <c r="JH40" s="23"/>
      <c r="JI40" s="23"/>
      <c r="JJ40" s="23"/>
      <c r="JK40" s="23"/>
      <c r="JL40" s="23"/>
      <c r="JM40" s="23"/>
      <c r="JN40" s="23"/>
      <c r="JO40" s="23"/>
      <c r="JP40" s="23"/>
      <c r="JQ40" s="23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3"/>
      <c r="NI40" s="23"/>
      <c r="NJ40" s="23"/>
      <c r="NK40" s="23"/>
      <c r="NL40" s="23"/>
      <c r="NM40" s="23"/>
      <c r="NN40" s="23"/>
      <c r="NO40" s="23"/>
      <c r="NP40" s="23"/>
      <c r="NQ40" s="23"/>
      <c r="NR40" s="23"/>
      <c r="NS40" s="23"/>
      <c r="NT40" s="23"/>
      <c r="NU40" s="23"/>
      <c r="NV40" s="23"/>
      <c r="NW40" s="23"/>
      <c r="NX40" s="23"/>
      <c r="NY40" s="23"/>
      <c r="NZ40" s="23"/>
      <c r="OA40" s="23"/>
      <c r="OB40" s="23"/>
      <c r="OC40" s="23"/>
      <c r="OD40" s="23"/>
      <c r="OE40" s="23"/>
      <c r="OF40" s="23"/>
      <c r="OG40" s="23"/>
      <c r="OH40" s="23"/>
      <c r="OI40" s="23"/>
      <c r="OJ40" s="23"/>
      <c r="OK40" s="23"/>
      <c r="OL40" s="23"/>
      <c r="OM40" s="23"/>
      <c r="ON40" s="23"/>
      <c r="OO40" s="23"/>
      <c r="OP40" s="23"/>
      <c r="OQ40" s="23"/>
      <c r="OR40" s="23"/>
      <c r="OS40" s="23"/>
      <c r="OT40" s="23"/>
      <c r="OU40" s="23"/>
      <c r="OV40" s="23"/>
      <c r="OW40" s="23"/>
      <c r="OX40" s="23"/>
      <c r="OY40" s="23"/>
      <c r="OZ40" s="23"/>
      <c r="PA40" s="23"/>
      <c r="PB40" s="23"/>
      <c r="PC40" s="23"/>
      <c r="PD40" s="23"/>
      <c r="PE40" s="23"/>
      <c r="PF40" s="23"/>
      <c r="PG40" s="23"/>
      <c r="PH40" s="23"/>
      <c r="PI40" s="23"/>
      <c r="PJ40" s="23"/>
      <c r="PK40" s="23"/>
      <c r="PL40" s="23"/>
      <c r="PM40" s="23"/>
      <c r="PN40" s="23"/>
      <c r="PO40" s="23"/>
      <c r="PP40" s="23"/>
      <c r="PQ40" s="23"/>
      <c r="PR40" s="23"/>
      <c r="PS40" s="23"/>
      <c r="PT40" s="23"/>
      <c r="PU40" s="23"/>
      <c r="PV40" s="23"/>
      <c r="PW40" s="23"/>
      <c r="PX40" s="23"/>
      <c r="PY40" s="23"/>
      <c r="PZ40" s="23"/>
      <c r="QA40" s="23"/>
      <c r="QB40" s="23"/>
      <c r="QC40" s="23"/>
      <c r="QD40" s="23"/>
      <c r="QE40" s="23"/>
      <c r="QF40" s="23"/>
      <c r="QG40" s="23"/>
      <c r="QH40" s="23"/>
      <c r="QI40" s="23"/>
      <c r="QJ40" s="23"/>
      <c r="QK40" s="23"/>
      <c r="QL40" s="23"/>
      <c r="QM40" s="23"/>
      <c r="QN40" s="23"/>
      <c r="QO40" s="23"/>
      <c r="QP40" s="23"/>
      <c r="QQ40" s="23"/>
      <c r="QR40" s="23"/>
      <c r="QS40" s="23"/>
      <c r="QT40" s="23"/>
      <c r="QU40" s="23"/>
      <c r="QV40" s="23"/>
      <c r="QW40" s="23"/>
      <c r="QX40" s="23"/>
      <c r="QY40" s="23"/>
      <c r="QZ40" s="23"/>
    </row>
    <row r="41" spans="1:46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  <c r="IX41" s="23"/>
      <c r="IY41" s="23"/>
      <c r="IZ41" s="23"/>
      <c r="JA41" s="23"/>
      <c r="JB41" s="23"/>
      <c r="JC41" s="23"/>
      <c r="JD41" s="23"/>
      <c r="JE41" s="23"/>
      <c r="JF41" s="23"/>
      <c r="JG41" s="23"/>
      <c r="JH41" s="23"/>
      <c r="JI41" s="23"/>
      <c r="JJ41" s="23"/>
      <c r="JK41" s="23"/>
      <c r="JL41" s="23"/>
      <c r="JM41" s="23"/>
      <c r="JN41" s="23"/>
      <c r="JO41" s="23"/>
      <c r="JP41" s="23"/>
      <c r="JQ41" s="23"/>
      <c r="JR41" s="23"/>
      <c r="JS41" s="23"/>
      <c r="JT41" s="23"/>
      <c r="JU41" s="23"/>
      <c r="JV41" s="23"/>
      <c r="JW41" s="23"/>
      <c r="JX41" s="23"/>
      <c r="JY41" s="23"/>
      <c r="JZ41" s="23"/>
      <c r="KA41" s="23"/>
      <c r="KB41" s="23"/>
      <c r="KC41" s="23"/>
      <c r="KD41" s="23"/>
      <c r="KE41" s="23"/>
      <c r="KF41" s="23"/>
      <c r="KG41" s="23"/>
      <c r="KH41" s="23"/>
      <c r="KI41" s="23"/>
      <c r="KJ41" s="23"/>
      <c r="KK41" s="23"/>
      <c r="KL41" s="23"/>
      <c r="KM41" s="23"/>
      <c r="KN41" s="23"/>
      <c r="KO41" s="23"/>
      <c r="KP41" s="23"/>
      <c r="KQ41" s="23"/>
      <c r="KR41" s="23"/>
      <c r="KS41" s="23"/>
      <c r="KT41" s="23"/>
      <c r="KU41" s="23"/>
      <c r="KV41" s="23"/>
      <c r="KW41" s="23"/>
      <c r="KX41" s="23"/>
      <c r="KY41" s="23"/>
      <c r="KZ41" s="23"/>
      <c r="LA41" s="23"/>
      <c r="LB41" s="23"/>
      <c r="LC41" s="23"/>
      <c r="LD41" s="23"/>
      <c r="LE41" s="23"/>
      <c r="LF41" s="23"/>
      <c r="LG41" s="23"/>
      <c r="LH41" s="23"/>
      <c r="LI41" s="23"/>
      <c r="LJ41" s="23"/>
      <c r="LK41" s="23"/>
      <c r="LL41" s="23"/>
      <c r="LM41" s="23"/>
      <c r="LN41" s="23"/>
      <c r="LO41" s="23"/>
      <c r="LP41" s="23"/>
      <c r="LQ41" s="23"/>
      <c r="LR41" s="23"/>
      <c r="LS41" s="23"/>
      <c r="LT41" s="23"/>
      <c r="LU41" s="23"/>
      <c r="LV41" s="23"/>
      <c r="LW41" s="23"/>
      <c r="LX41" s="23"/>
      <c r="LY41" s="23"/>
      <c r="LZ41" s="23"/>
      <c r="MA41" s="23"/>
      <c r="MB41" s="23"/>
      <c r="MC41" s="23"/>
      <c r="MD41" s="23"/>
      <c r="ME41" s="23"/>
      <c r="MF41" s="23"/>
      <c r="MG41" s="23"/>
      <c r="MH41" s="23"/>
      <c r="MI41" s="23"/>
      <c r="MJ41" s="23"/>
      <c r="MK41" s="23"/>
      <c r="ML41" s="23"/>
      <c r="MM41" s="23"/>
      <c r="MN41" s="23"/>
      <c r="MO41" s="23"/>
      <c r="MP41" s="23"/>
      <c r="MQ41" s="23"/>
      <c r="MR41" s="23"/>
      <c r="MS41" s="23"/>
      <c r="MT41" s="23"/>
      <c r="MU41" s="23"/>
      <c r="MV41" s="23"/>
      <c r="MW41" s="23"/>
      <c r="MX41" s="23"/>
      <c r="MY41" s="23"/>
      <c r="MZ41" s="23"/>
      <c r="NA41" s="23"/>
      <c r="NB41" s="23"/>
      <c r="NC41" s="23"/>
      <c r="ND41" s="23"/>
      <c r="NE41" s="23"/>
      <c r="NF41" s="23"/>
      <c r="NG41" s="23"/>
      <c r="NH41" s="23"/>
      <c r="NI41" s="23"/>
      <c r="NJ41" s="23"/>
      <c r="NK41" s="23"/>
      <c r="NL41" s="23"/>
      <c r="NM41" s="23"/>
      <c r="NN41" s="23"/>
      <c r="NO41" s="23"/>
      <c r="NP41" s="23"/>
      <c r="NQ41" s="23"/>
      <c r="NR41" s="23"/>
      <c r="NS41" s="23"/>
      <c r="NT41" s="23"/>
      <c r="NU41" s="23"/>
      <c r="NV41" s="23"/>
      <c r="NW41" s="23"/>
      <c r="NX41" s="23"/>
      <c r="NY41" s="23"/>
      <c r="NZ41" s="23"/>
      <c r="OA41" s="23"/>
      <c r="OB41" s="23"/>
      <c r="OC41" s="23"/>
      <c r="OD41" s="23"/>
      <c r="OE41" s="23"/>
      <c r="OF41" s="23"/>
      <c r="OG41" s="23"/>
      <c r="OH41" s="23"/>
      <c r="OI41" s="23"/>
      <c r="OJ41" s="23"/>
      <c r="OK41" s="23"/>
      <c r="OL41" s="23"/>
      <c r="OM41" s="23"/>
      <c r="ON41" s="23"/>
      <c r="OO41" s="23"/>
      <c r="OP41" s="23"/>
      <c r="OQ41" s="23"/>
      <c r="OR41" s="23"/>
      <c r="OS41" s="23"/>
      <c r="OT41" s="23"/>
      <c r="OU41" s="23"/>
      <c r="OV41" s="23"/>
      <c r="OW41" s="23"/>
      <c r="OX41" s="23"/>
      <c r="OY41" s="23"/>
      <c r="OZ41" s="23"/>
      <c r="PA41" s="23"/>
      <c r="PB41" s="23"/>
      <c r="PC41" s="23"/>
      <c r="PD41" s="23"/>
      <c r="PE41" s="23"/>
      <c r="PF41" s="23"/>
      <c r="PG41" s="23"/>
      <c r="PH41" s="23"/>
      <c r="PI41" s="23"/>
      <c r="PJ41" s="23"/>
      <c r="PK41" s="23"/>
      <c r="PL41" s="23"/>
      <c r="PM41" s="23"/>
      <c r="PN41" s="23"/>
      <c r="PO41" s="23"/>
      <c r="PP41" s="23"/>
      <c r="PQ41" s="23"/>
      <c r="PR41" s="23"/>
      <c r="PS41" s="23"/>
      <c r="PT41" s="23"/>
      <c r="PU41" s="23"/>
      <c r="PV41" s="23"/>
      <c r="PW41" s="23"/>
      <c r="PX41" s="23"/>
      <c r="PY41" s="23"/>
      <c r="PZ41" s="23"/>
      <c r="QA41" s="23"/>
      <c r="QB41" s="23"/>
      <c r="QC41" s="23"/>
      <c r="QD41" s="23"/>
      <c r="QE41" s="23"/>
      <c r="QF41" s="23"/>
      <c r="QG41" s="23"/>
      <c r="QH41" s="23"/>
      <c r="QI41" s="23"/>
      <c r="QJ41" s="23"/>
      <c r="QK41" s="23"/>
      <c r="QL41" s="23"/>
      <c r="QM41" s="23"/>
      <c r="QN41" s="23"/>
      <c r="QO41" s="23"/>
      <c r="QP41" s="23"/>
      <c r="QQ41" s="23"/>
      <c r="QR41" s="23"/>
      <c r="QS41" s="23"/>
      <c r="QT41" s="23"/>
      <c r="QU41" s="23"/>
      <c r="QV41" s="23"/>
      <c r="QW41" s="23"/>
      <c r="QX41" s="23"/>
      <c r="QY41" s="23"/>
      <c r="QZ41" s="23"/>
    </row>
    <row r="42" spans="1:46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  <c r="IX42" s="23"/>
      <c r="IY42" s="23"/>
      <c r="IZ42" s="23"/>
      <c r="JA42" s="23"/>
      <c r="JB42" s="23"/>
      <c r="JC42" s="23"/>
      <c r="JD42" s="23"/>
      <c r="JE42" s="23"/>
      <c r="JF42" s="23"/>
      <c r="JG42" s="23"/>
      <c r="JH42" s="23"/>
      <c r="JI42" s="23"/>
      <c r="JJ42" s="23"/>
      <c r="JK42" s="23"/>
      <c r="JL42" s="23"/>
      <c r="JM42" s="23"/>
      <c r="JN42" s="23"/>
      <c r="JO42" s="23"/>
      <c r="JP42" s="23"/>
      <c r="JQ42" s="23"/>
      <c r="JR42" s="23"/>
      <c r="JS42" s="23"/>
      <c r="JT42" s="23"/>
      <c r="JU42" s="23"/>
      <c r="JV42" s="23"/>
      <c r="JW42" s="23"/>
      <c r="JX42" s="23"/>
      <c r="JY42" s="23"/>
      <c r="JZ42" s="23"/>
      <c r="KA42" s="23"/>
      <c r="KB42" s="23"/>
      <c r="KC42" s="23"/>
      <c r="KD42" s="23"/>
      <c r="KE42" s="23"/>
      <c r="KF42" s="23"/>
      <c r="KG42" s="23"/>
      <c r="KH42" s="23"/>
      <c r="KI42" s="23"/>
      <c r="KJ42" s="23"/>
      <c r="KK42" s="23"/>
      <c r="KL42" s="23"/>
      <c r="KM42" s="23"/>
      <c r="KN42" s="23"/>
      <c r="KO42" s="23"/>
      <c r="KP42" s="23"/>
      <c r="KQ42" s="23"/>
      <c r="KR42" s="23"/>
      <c r="KS42" s="23"/>
      <c r="KT42" s="23"/>
      <c r="KU42" s="23"/>
      <c r="KV42" s="23"/>
      <c r="KW42" s="23"/>
      <c r="KX42" s="23"/>
      <c r="KY42" s="23"/>
      <c r="KZ42" s="23"/>
      <c r="LA42" s="23"/>
      <c r="LB42" s="23"/>
      <c r="LC42" s="23"/>
      <c r="LD42" s="23"/>
      <c r="LE42" s="23"/>
      <c r="LF42" s="23"/>
      <c r="LG42" s="23"/>
      <c r="LH42" s="23"/>
      <c r="LI42" s="23"/>
      <c r="LJ42" s="23"/>
      <c r="LK42" s="23"/>
      <c r="LL42" s="23"/>
      <c r="LM42" s="23"/>
      <c r="LN42" s="23"/>
      <c r="LO42" s="23"/>
      <c r="LP42" s="23"/>
      <c r="LQ42" s="23"/>
      <c r="LR42" s="23"/>
      <c r="LS42" s="23"/>
      <c r="LT42" s="23"/>
      <c r="LU42" s="23"/>
      <c r="LV42" s="23"/>
      <c r="LW42" s="23"/>
      <c r="LX42" s="23"/>
      <c r="LY42" s="23"/>
      <c r="LZ42" s="23"/>
      <c r="MA42" s="23"/>
      <c r="MB42" s="23"/>
      <c r="MC42" s="23"/>
      <c r="MD42" s="23"/>
      <c r="ME42" s="23"/>
      <c r="MF42" s="23"/>
      <c r="MG42" s="23"/>
      <c r="MH42" s="23"/>
      <c r="MI42" s="23"/>
      <c r="MJ42" s="23"/>
      <c r="MK42" s="23"/>
      <c r="ML42" s="23"/>
      <c r="MM42" s="23"/>
      <c r="MN42" s="23"/>
      <c r="MO42" s="23"/>
      <c r="MP42" s="23"/>
      <c r="MQ42" s="23"/>
      <c r="MR42" s="23"/>
      <c r="MS42" s="23"/>
      <c r="MT42" s="23"/>
      <c r="MU42" s="23"/>
      <c r="MV42" s="23"/>
      <c r="MW42" s="23"/>
      <c r="MX42" s="23"/>
      <c r="MY42" s="23"/>
      <c r="MZ42" s="23"/>
      <c r="NA42" s="23"/>
      <c r="NB42" s="23"/>
      <c r="NC42" s="23"/>
      <c r="ND42" s="23"/>
      <c r="NE42" s="23"/>
      <c r="NF42" s="23"/>
      <c r="NG42" s="23"/>
      <c r="NH42" s="23"/>
      <c r="NI42" s="23"/>
      <c r="NJ42" s="23"/>
      <c r="NK42" s="23"/>
      <c r="NL42" s="23"/>
      <c r="NM42" s="23"/>
      <c r="NN42" s="23"/>
      <c r="NO42" s="23"/>
      <c r="NP42" s="23"/>
      <c r="NQ42" s="23"/>
      <c r="NR42" s="23"/>
      <c r="NS42" s="23"/>
      <c r="NT42" s="23"/>
      <c r="NU42" s="23"/>
      <c r="NV42" s="23"/>
      <c r="NW42" s="23"/>
      <c r="NX42" s="23"/>
      <c r="NY42" s="23"/>
      <c r="NZ42" s="23"/>
      <c r="OA42" s="23"/>
      <c r="OB42" s="23"/>
      <c r="OC42" s="23"/>
      <c r="OD42" s="23"/>
      <c r="OE42" s="23"/>
      <c r="OF42" s="23"/>
      <c r="OG42" s="23"/>
      <c r="OH42" s="23"/>
      <c r="OI42" s="23"/>
      <c r="OJ42" s="23"/>
      <c r="OK42" s="23"/>
      <c r="OL42" s="23"/>
      <c r="OM42" s="23"/>
      <c r="ON42" s="23"/>
      <c r="OO42" s="23"/>
      <c r="OP42" s="23"/>
      <c r="OQ42" s="23"/>
      <c r="OR42" s="23"/>
      <c r="OS42" s="23"/>
      <c r="OT42" s="23"/>
      <c r="OU42" s="23"/>
      <c r="OV42" s="23"/>
      <c r="OW42" s="23"/>
      <c r="OX42" s="23"/>
      <c r="OY42" s="23"/>
      <c r="OZ42" s="23"/>
      <c r="PA42" s="23"/>
      <c r="PB42" s="23"/>
      <c r="PC42" s="23"/>
      <c r="PD42" s="23"/>
      <c r="PE42" s="23"/>
      <c r="PF42" s="23"/>
      <c r="PG42" s="23"/>
      <c r="PH42" s="23"/>
      <c r="PI42" s="23"/>
      <c r="PJ42" s="23"/>
      <c r="PK42" s="23"/>
      <c r="PL42" s="23"/>
      <c r="PM42" s="23"/>
      <c r="PN42" s="23"/>
      <c r="PO42" s="23"/>
      <c r="PP42" s="23"/>
      <c r="PQ42" s="23"/>
      <c r="PR42" s="23"/>
      <c r="PS42" s="23"/>
      <c r="PT42" s="23"/>
      <c r="PU42" s="23"/>
      <c r="PV42" s="23"/>
      <c r="PW42" s="23"/>
      <c r="PX42" s="23"/>
      <c r="PY42" s="23"/>
      <c r="PZ42" s="23"/>
      <c r="QA42" s="23"/>
      <c r="QB42" s="23"/>
      <c r="QC42" s="23"/>
      <c r="QD42" s="23"/>
      <c r="QE42" s="23"/>
      <c r="QF42" s="23"/>
      <c r="QG42" s="23"/>
      <c r="QH42" s="23"/>
      <c r="QI42" s="23"/>
      <c r="QJ42" s="23"/>
      <c r="QK42" s="23"/>
      <c r="QL42" s="23"/>
      <c r="QM42" s="23"/>
      <c r="QN42" s="23"/>
      <c r="QO42" s="23"/>
      <c r="QP42" s="23"/>
      <c r="QQ42" s="23"/>
      <c r="QR42" s="23"/>
      <c r="QS42" s="23"/>
      <c r="QT42" s="23"/>
      <c r="QU42" s="23"/>
      <c r="QV42" s="23"/>
      <c r="QW42" s="23"/>
      <c r="QX42" s="23"/>
      <c r="QY42" s="23"/>
      <c r="QZ42" s="23"/>
    </row>
    <row r="43" spans="1:46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  <c r="IX43" s="23"/>
      <c r="IY43" s="23"/>
      <c r="IZ43" s="23"/>
      <c r="JA43" s="23"/>
      <c r="JB43" s="23"/>
      <c r="JC43" s="23"/>
      <c r="JD43" s="23"/>
      <c r="JE43" s="23"/>
      <c r="JF43" s="23"/>
      <c r="JG43" s="23"/>
      <c r="JH43" s="23"/>
      <c r="JI43" s="23"/>
      <c r="JJ43" s="23"/>
      <c r="JK43" s="23"/>
      <c r="JL43" s="23"/>
      <c r="JM43" s="23"/>
      <c r="JN43" s="23"/>
      <c r="JO43" s="23"/>
      <c r="JP43" s="23"/>
      <c r="JQ43" s="23"/>
      <c r="JR43" s="23"/>
      <c r="JS43" s="23"/>
      <c r="JT43" s="23"/>
      <c r="JU43" s="23"/>
      <c r="JV43" s="23"/>
      <c r="JW43" s="23"/>
      <c r="JX43" s="23"/>
      <c r="JY43" s="23"/>
      <c r="JZ43" s="23"/>
      <c r="KA43" s="23"/>
      <c r="KB43" s="23"/>
      <c r="KC43" s="23"/>
      <c r="KD43" s="23"/>
      <c r="KE43" s="23"/>
      <c r="KF43" s="23"/>
      <c r="KG43" s="23"/>
      <c r="KH43" s="23"/>
      <c r="KI43" s="23"/>
      <c r="KJ43" s="23"/>
      <c r="KK43" s="23"/>
      <c r="KL43" s="23"/>
      <c r="KM43" s="23"/>
      <c r="KN43" s="23"/>
      <c r="KO43" s="23"/>
      <c r="KP43" s="23"/>
      <c r="KQ43" s="23"/>
      <c r="KR43" s="23"/>
      <c r="KS43" s="23"/>
      <c r="KT43" s="23"/>
      <c r="KU43" s="23"/>
      <c r="KV43" s="23"/>
      <c r="KW43" s="23"/>
      <c r="KX43" s="23"/>
      <c r="KY43" s="23"/>
      <c r="KZ43" s="23"/>
      <c r="LA43" s="23"/>
      <c r="LB43" s="23"/>
      <c r="LC43" s="23"/>
      <c r="LD43" s="23"/>
      <c r="LE43" s="23"/>
      <c r="LF43" s="23"/>
      <c r="LG43" s="23"/>
      <c r="LH43" s="23"/>
      <c r="LI43" s="23"/>
      <c r="LJ43" s="23"/>
      <c r="LK43" s="23"/>
      <c r="LL43" s="23"/>
      <c r="LM43" s="23"/>
      <c r="LN43" s="23"/>
      <c r="LO43" s="23"/>
      <c r="LP43" s="23"/>
      <c r="LQ43" s="23"/>
      <c r="LR43" s="23"/>
      <c r="LS43" s="23"/>
      <c r="LT43" s="23"/>
      <c r="LU43" s="23"/>
      <c r="LV43" s="23"/>
      <c r="LW43" s="23"/>
      <c r="LX43" s="23"/>
      <c r="LY43" s="23"/>
      <c r="LZ43" s="23"/>
      <c r="MA43" s="23"/>
      <c r="MB43" s="23"/>
      <c r="MC43" s="23"/>
      <c r="MD43" s="23"/>
      <c r="ME43" s="23"/>
      <c r="MF43" s="23"/>
      <c r="MG43" s="23"/>
      <c r="MH43" s="23"/>
      <c r="MI43" s="23"/>
      <c r="MJ43" s="23"/>
      <c r="MK43" s="23"/>
      <c r="ML43" s="23"/>
      <c r="MM43" s="23"/>
      <c r="MN43" s="23"/>
      <c r="MO43" s="23"/>
      <c r="MP43" s="23"/>
      <c r="MQ43" s="23"/>
      <c r="MR43" s="23"/>
      <c r="MS43" s="23"/>
      <c r="MT43" s="23"/>
      <c r="MU43" s="23"/>
      <c r="MV43" s="23"/>
      <c r="MW43" s="23"/>
      <c r="MX43" s="23"/>
      <c r="MY43" s="23"/>
      <c r="MZ43" s="23"/>
      <c r="NA43" s="23"/>
      <c r="NB43" s="23"/>
      <c r="NC43" s="23"/>
      <c r="ND43" s="23"/>
      <c r="NE43" s="23"/>
      <c r="NF43" s="23"/>
      <c r="NG43" s="23"/>
      <c r="NH43" s="23"/>
      <c r="NI43" s="23"/>
      <c r="NJ43" s="23"/>
      <c r="NK43" s="23"/>
      <c r="NL43" s="23"/>
      <c r="NM43" s="23"/>
      <c r="NN43" s="23"/>
      <c r="NO43" s="23"/>
      <c r="NP43" s="23"/>
      <c r="NQ43" s="23"/>
      <c r="NR43" s="23"/>
      <c r="NS43" s="23"/>
      <c r="NT43" s="23"/>
      <c r="NU43" s="23"/>
      <c r="NV43" s="23"/>
      <c r="NW43" s="23"/>
      <c r="NX43" s="23"/>
      <c r="NY43" s="23"/>
      <c r="NZ43" s="23"/>
      <c r="OA43" s="23"/>
      <c r="OB43" s="23"/>
      <c r="OC43" s="23"/>
      <c r="OD43" s="23"/>
      <c r="OE43" s="23"/>
      <c r="OF43" s="23"/>
      <c r="OG43" s="23"/>
      <c r="OH43" s="23"/>
      <c r="OI43" s="23"/>
      <c r="OJ43" s="23"/>
      <c r="OK43" s="23"/>
      <c r="OL43" s="23"/>
      <c r="OM43" s="23"/>
      <c r="ON43" s="23"/>
      <c r="OO43" s="23"/>
      <c r="OP43" s="23"/>
      <c r="OQ43" s="23"/>
      <c r="OR43" s="23"/>
      <c r="OS43" s="23"/>
      <c r="OT43" s="23"/>
      <c r="OU43" s="23"/>
      <c r="OV43" s="23"/>
      <c r="OW43" s="23"/>
      <c r="OX43" s="23"/>
      <c r="OY43" s="23"/>
      <c r="OZ43" s="23"/>
      <c r="PA43" s="23"/>
      <c r="PB43" s="23"/>
      <c r="PC43" s="23"/>
      <c r="PD43" s="23"/>
      <c r="PE43" s="23"/>
      <c r="PF43" s="23"/>
      <c r="PG43" s="23"/>
      <c r="PH43" s="23"/>
      <c r="PI43" s="23"/>
      <c r="PJ43" s="23"/>
      <c r="PK43" s="23"/>
      <c r="PL43" s="23"/>
      <c r="PM43" s="23"/>
      <c r="PN43" s="23"/>
      <c r="PO43" s="23"/>
      <c r="PP43" s="23"/>
      <c r="PQ43" s="23"/>
      <c r="PR43" s="23"/>
      <c r="PS43" s="23"/>
      <c r="PT43" s="23"/>
      <c r="PU43" s="23"/>
      <c r="PV43" s="23"/>
      <c r="PW43" s="23"/>
      <c r="PX43" s="23"/>
      <c r="PY43" s="23"/>
      <c r="PZ43" s="23"/>
      <c r="QA43" s="23"/>
      <c r="QB43" s="23"/>
      <c r="QC43" s="23"/>
      <c r="QD43" s="23"/>
      <c r="QE43" s="23"/>
      <c r="QF43" s="23"/>
      <c r="QG43" s="23"/>
      <c r="QH43" s="23"/>
      <c r="QI43" s="23"/>
      <c r="QJ43" s="23"/>
      <c r="QK43" s="23"/>
      <c r="QL43" s="23"/>
      <c r="QM43" s="23"/>
      <c r="QN43" s="23"/>
      <c r="QO43" s="23"/>
      <c r="QP43" s="23"/>
      <c r="QQ43" s="23"/>
      <c r="QR43" s="23"/>
      <c r="QS43" s="23"/>
      <c r="QT43" s="23"/>
      <c r="QU43" s="23"/>
      <c r="QV43" s="23"/>
      <c r="QW43" s="23"/>
      <c r="QX43" s="23"/>
      <c r="QY43" s="23"/>
      <c r="QZ43" s="23"/>
    </row>
    <row r="44" spans="1:46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  <c r="IX44" s="23"/>
      <c r="IY44" s="23"/>
      <c r="IZ44" s="23"/>
      <c r="JA44" s="23"/>
      <c r="JB44" s="23"/>
      <c r="JC44" s="23"/>
      <c r="JD44" s="23"/>
      <c r="JE44" s="23"/>
      <c r="JF44" s="23"/>
      <c r="JG44" s="23"/>
      <c r="JH44" s="23"/>
      <c r="JI44" s="23"/>
      <c r="JJ44" s="23"/>
      <c r="JK44" s="23"/>
      <c r="JL44" s="23"/>
      <c r="JM44" s="23"/>
      <c r="JN44" s="23"/>
      <c r="JO44" s="23"/>
      <c r="JP44" s="23"/>
      <c r="JQ44" s="23"/>
      <c r="JR44" s="23"/>
      <c r="JS44" s="23"/>
      <c r="JT44" s="23"/>
      <c r="JU44" s="23"/>
      <c r="JV44" s="23"/>
      <c r="JW44" s="23"/>
      <c r="JX44" s="23"/>
      <c r="JY44" s="23"/>
      <c r="JZ44" s="23"/>
      <c r="KA44" s="23"/>
      <c r="KB44" s="23"/>
      <c r="KC44" s="23"/>
      <c r="KD44" s="23"/>
      <c r="KE44" s="23"/>
      <c r="KF44" s="23"/>
      <c r="KG44" s="23"/>
      <c r="KH44" s="23"/>
      <c r="KI44" s="23"/>
      <c r="KJ44" s="23"/>
      <c r="KK44" s="23"/>
      <c r="KL44" s="23"/>
      <c r="KM44" s="23"/>
      <c r="KN44" s="23"/>
      <c r="KO44" s="23"/>
      <c r="KP44" s="23"/>
      <c r="KQ44" s="23"/>
      <c r="KR44" s="23"/>
      <c r="KS44" s="23"/>
      <c r="KT44" s="23"/>
      <c r="KU44" s="23"/>
      <c r="KV44" s="23"/>
      <c r="KW44" s="23"/>
      <c r="KX44" s="23"/>
      <c r="KY44" s="23"/>
      <c r="KZ44" s="23"/>
      <c r="LA44" s="23"/>
      <c r="LB44" s="23"/>
      <c r="LC44" s="23"/>
      <c r="LD44" s="23"/>
      <c r="LE44" s="23"/>
      <c r="LF44" s="23"/>
      <c r="LG44" s="23"/>
      <c r="LH44" s="23"/>
      <c r="LI44" s="23"/>
      <c r="LJ44" s="23"/>
      <c r="LK44" s="23"/>
      <c r="LL44" s="23"/>
      <c r="LM44" s="23"/>
      <c r="LN44" s="23"/>
      <c r="LO44" s="23"/>
      <c r="LP44" s="23"/>
      <c r="LQ44" s="23"/>
      <c r="LR44" s="23"/>
      <c r="LS44" s="23"/>
      <c r="LT44" s="23"/>
      <c r="LU44" s="23"/>
      <c r="LV44" s="23"/>
      <c r="LW44" s="23"/>
      <c r="LX44" s="23"/>
      <c r="LY44" s="23"/>
      <c r="LZ44" s="23"/>
      <c r="MA44" s="23"/>
      <c r="MB44" s="23"/>
      <c r="MC44" s="23"/>
      <c r="MD44" s="23"/>
      <c r="ME44" s="23"/>
      <c r="MF44" s="23"/>
      <c r="MG44" s="23"/>
      <c r="MH44" s="23"/>
      <c r="MI44" s="23"/>
      <c r="MJ44" s="23"/>
      <c r="MK44" s="23"/>
      <c r="ML44" s="23"/>
      <c r="MM44" s="23"/>
      <c r="MN44" s="23"/>
      <c r="MO44" s="23"/>
      <c r="MP44" s="23"/>
      <c r="MQ44" s="23"/>
      <c r="MR44" s="23"/>
      <c r="MS44" s="23"/>
      <c r="MT44" s="23"/>
      <c r="MU44" s="23"/>
      <c r="MV44" s="23"/>
      <c r="MW44" s="23"/>
      <c r="MX44" s="23"/>
      <c r="MY44" s="23"/>
      <c r="MZ44" s="23"/>
      <c r="NA44" s="23"/>
      <c r="NB44" s="23"/>
      <c r="NC44" s="23"/>
      <c r="ND44" s="23"/>
      <c r="NE44" s="23"/>
      <c r="NF44" s="23"/>
      <c r="NG44" s="23"/>
      <c r="NH44" s="23"/>
      <c r="NI44" s="23"/>
      <c r="NJ44" s="23"/>
      <c r="NK44" s="23"/>
      <c r="NL44" s="23"/>
      <c r="NM44" s="23"/>
      <c r="NN44" s="23"/>
      <c r="NO44" s="23"/>
      <c r="NP44" s="23"/>
      <c r="NQ44" s="23"/>
      <c r="NR44" s="23"/>
      <c r="NS44" s="23"/>
      <c r="NT44" s="23"/>
      <c r="NU44" s="23"/>
      <c r="NV44" s="23"/>
      <c r="NW44" s="23"/>
      <c r="NX44" s="23"/>
      <c r="NY44" s="23"/>
      <c r="NZ44" s="23"/>
      <c r="OA44" s="23"/>
      <c r="OB44" s="23"/>
      <c r="OC44" s="23"/>
      <c r="OD44" s="23"/>
      <c r="OE44" s="23"/>
      <c r="OF44" s="23"/>
      <c r="OG44" s="23"/>
      <c r="OH44" s="23"/>
      <c r="OI44" s="23"/>
      <c r="OJ44" s="23"/>
      <c r="OK44" s="23"/>
      <c r="OL44" s="23"/>
      <c r="OM44" s="23"/>
      <c r="ON44" s="23"/>
      <c r="OO44" s="23"/>
      <c r="OP44" s="23"/>
      <c r="OQ44" s="23"/>
      <c r="OR44" s="23"/>
      <c r="OS44" s="23"/>
      <c r="OT44" s="23"/>
      <c r="OU44" s="23"/>
      <c r="OV44" s="23"/>
      <c r="OW44" s="23"/>
      <c r="OX44" s="23"/>
      <c r="OY44" s="23"/>
      <c r="OZ44" s="23"/>
      <c r="PA44" s="23"/>
      <c r="PB44" s="23"/>
      <c r="PC44" s="23"/>
      <c r="PD44" s="23"/>
      <c r="PE44" s="23"/>
      <c r="PF44" s="23"/>
      <c r="PG44" s="23"/>
      <c r="PH44" s="23"/>
      <c r="PI44" s="23"/>
      <c r="PJ44" s="23"/>
      <c r="PK44" s="23"/>
      <c r="PL44" s="23"/>
      <c r="PM44" s="23"/>
      <c r="PN44" s="23"/>
      <c r="PO44" s="23"/>
      <c r="PP44" s="23"/>
      <c r="PQ44" s="23"/>
      <c r="PR44" s="23"/>
      <c r="PS44" s="23"/>
      <c r="PT44" s="23"/>
      <c r="PU44" s="23"/>
      <c r="PV44" s="23"/>
      <c r="PW44" s="23"/>
      <c r="PX44" s="23"/>
      <c r="PY44" s="23"/>
      <c r="PZ44" s="23"/>
      <c r="QA44" s="23"/>
      <c r="QB44" s="23"/>
      <c r="QC44" s="23"/>
      <c r="QD44" s="23"/>
      <c r="QE44" s="23"/>
      <c r="QF44" s="23"/>
      <c r="QG44" s="23"/>
      <c r="QH44" s="23"/>
      <c r="QI44" s="23"/>
      <c r="QJ44" s="23"/>
      <c r="QK44" s="23"/>
      <c r="QL44" s="23"/>
      <c r="QM44" s="23"/>
      <c r="QN44" s="23"/>
      <c r="QO44" s="23"/>
      <c r="QP44" s="23"/>
      <c r="QQ44" s="23"/>
      <c r="QR44" s="23"/>
      <c r="QS44" s="23"/>
      <c r="QT44" s="23"/>
      <c r="QU44" s="23"/>
      <c r="QV44" s="23"/>
      <c r="QW44" s="23"/>
      <c r="QX44" s="23"/>
      <c r="QY44" s="23"/>
      <c r="QZ44" s="23"/>
    </row>
    <row r="45" spans="1:468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  <c r="IX45" s="23"/>
      <c r="IY45" s="23"/>
      <c r="IZ45" s="23"/>
      <c r="JA45" s="23"/>
      <c r="JB45" s="23"/>
      <c r="JC45" s="23"/>
      <c r="JD45" s="23"/>
      <c r="JE45" s="23"/>
      <c r="JF45" s="23"/>
      <c r="JG45" s="23"/>
      <c r="JH45" s="23"/>
      <c r="JI45" s="23"/>
      <c r="JJ45" s="23"/>
      <c r="JK45" s="23"/>
      <c r="JL45" s="23"/>
      <c r="JM45" s="23"/>
      <c r="JN45" s="23"/>
      <c r="JO45" s="23"/>
      <c r="JP45" s="23"/>
      <c r="JQ45" s="23"/>
      <c r="JR45" s="23"/>
      <c r="JS45" s="23"/>
      <c r="JT45" s="23"/>
      <c r="JU45" s="23"/>
      <c r="JV45" s="23"/>
      <c r="JW45" s="23"/>
      <c r="JX45" s="23"/>
      <c r="JY45" s="23"/>
      <c r="JZ45" s="23"/>
      <c r="KA45" s="23"/>
      <c r="KB45" s="23"/>
      <c r="KC45" s="23"/>
      <c r="KD45" s="23"/>
      <c r="KE45" s="23"/>
      <c r="KF45" s="23"/>
      <c r="KG45" s="23"/>
      <c r="KH45" s="23"/>
      <c r="KI45" s="23"/>
      <c r="KJ45" s="23"/>
      <c r="KK45" s="23"/>
      <c r="KL45" s="23"/>
      <c r="KM45" s="23"/>
      <c r="KN45" s="23"/>
      <c r="KO45" s="23"/>
      <c r="KP45" s="23"/>
      <c r="KQ45" s="23"/>
      <c r="KR45" s="23"/>
      <c r="KS45" s="23"/>
      <c r="KT45" s="23"/>
      <c r="KU45" s="23"/>
      <c r="KV45" s="23"/>
      <c r="KW45" s="23"/>
      <c r="KX45" s="23"/>
      <c r="KY45" s="23"/>
      <c r="KZ45" s="23"/>
      <c r="LA45" s="23"/>
      <c r="LB45" s="23"/>
      <c r="LC45" s="23"/>
      <c r="LD45" s="23"/>
      <c r="LE45" s="23"/>
      <c r="LF45" s="23"/>
      <c r="LG45" s="23"/>
      <c r="LH45" s="23"/>
      <c r="LI45" s="23"/>
      <c r="LJ45" s="23"/>
      <c r="LK45" s="23"/>
      <c r="LL45" s="23"/>
      <c r="LM45" s="23"/>
      <c r="LN45" s="23"/>
      <c r="LO45" s="23"/>
      <c r="LP45" s="23"/>
      <c r="LQ45" s="23"/>
      <c r="LR45" s="23"/>
      <c r="LS45" s="23"/>
      <c r="LT45" s="23"/>
      <c r="LU45" s="23"/>
      <c r="LV45" s="23"/>
      <c r="LW45" s="23"/>
      <c r="LX45" s="23"/>
      <c r="LY45" s="23"/>
      <c r="LZ45" s="23"/>
      <c r="MA45" s="23"/>
      <c r="MB45" s="23"/>
      <c r="MC45" s="23"/>
      <c r="MD45" s="23"/>
      <c r="ME45" s="23"/>
      <c r="MF45" s="23"/>
      <c r="MG45" s="23"/>
      <c r="MH45" s="23"/>
      <c r="MI45" s="23"/>
      <c r="MJ45" s="23"/>
      <c r="MK45" s="23"/>
      <c r="ML45" s="23"/>
      <c r="MM45" s="23"/>
      <c r="MN45" s="23"/>
      <c r="MO45" s="23"/>
      <c r="MP45" s="23"/>
      <c r="MQ45" s="23"/>
      <c r="MR45" s="23"/>
      <c r="MS45" s="23"/>
      <c r="MT45" s="23"/>
      <c r="MU45" s="23"/>
      <c r="MV45" s="23"/>
      <c r="MW45" s="23"/>
      <c r="MX45" s="23"/>
      <c r="MY45" s="23"/>
      <c r="MZ45" s="23"/>
      <c r="NA45" s="23"/>
      <c r="NB45" s="23"/>
      <c r="NC45" s="23"/>
      <c r="ND45" s="23"/>
      <c r="NE45" s="23"/>
      <c r="NF45" s="23"/>
      <c r="NG45" s="23"/>
      <c r="NH45" s="23"/>
      <c r="NI45" s="23"/>
      <c r="NJ45" s="23"/>
      <c r="NK45" s="23"/>
      <c r="NL45" s="23"/>
      <c r="NM45" s="23"/>
      <c r="NN45" s="23"/>
      <c r="NO45" s="23"/>
      <c r="NP45" s="23"/>
      <c r="NQ45" s="23"/>
      <c r="NR45" s="23"/>
      <c r="NS45" s="23"/>
      <c r="NT45" s="23"/>
      <c r="NU45" s="23"/>
      <c r="NV45" s="23"/>
      <c r="NW45" s="23"/>
      <c r="NX45" s="23"/>
      <c r="NY45" s="23"/>
      <c r="NZ45" s="23"/>
      <c r="OA45" s="23"/>
      <c r="OB45" s="23"/>
      <c r="OC45" s="23"/>
      <c r="OD45" s="23"/>
      <c r="OE45" s="23"/>
      <c r="OF45" s="23"/>
      <c r="OG45" s="23"/>
      <c r="OH45" s="23"/>
      <c r="OI45" s="23"/>
      <c r="OJ45" s="23"/>
      <c r="OK45" s="23"/>
      <c r="OL45" s="23"/>
      <c r="OM45" s="23"/>
      <c r="ON45" s="23"/>
      <c r="OO45" s="23"/>
      <c r="OP45" s="23"/>
      <c r="OQ45" s="23"/>
      <c r="OR45" s="23"/>
      <c r="OS45" s="23"/>
      <c r="OT45" s="23"/>
      <c r="OU45" s="23"/>
      <c r="OV45" s="23"/>
      <c r="OW45" s="23"/>
      <c r="OX45" s="23"/>
      <c r="OY45" s="23"/>
      <c r="OZ45" s="23"/>
      <c r="PA45" s="23"/>
      <c r="PB45" s="23"/>
      <c r="PC45" s="23"/>
      <c r="PD45" s="23"/>
      <c r="PE45" s="23"/>
      <c r="PF45" s="23"/>
      <c r="PG45" s="23"/>
      <c r="PH45" s="23"/>
      <c r="PI45" s="23"/>
      <c r="PJ45" s="23"/>
      <c r="PK45" s="23"/>
      <c r="PL45" s="23"/>
      <c r="PM45" s="23"/>
      <c r="PN45" s="23"/>
      <c r="PO45" s="23"/>
      <c r="PP45" s="23"/>
      <c r="PQ45" s="23"/>
      <c r="PR45" s="23"/>
      <c r="PS45" s="23"/>
      <c r="PT45" s="23"/>
      <c r="PU45" s="23"/>
      <c r="PV45" s="23"/>
      <c r="PW45" s="23"/>
      <c r="PX45" s="23"/>
      <c r="PY45" s="23"/>
      <c r="PZ45" s="23"/>
      <c r="QA45" s="23"/>
      <c r="QB45" s="23"/>
      <c r="QC45" s="23"/>
      <c r="QD45" s="23"/>
      <c r="QE45" s="23"/>
      <c r="QF45" s="23"/>
      <c r="QG45" s="23"/>
      <c r="QH45" s="23"/>
      <c r="QI45" s="23"/>
      <c r="QJ45" s="23"/>
      <c r="QK45" s="23"/>
      <c r="QL45" s="23"/>
      <c r="QM45" s="23"/>
      <c r="QN45" s="23"/>
      <c r="QO45" s="23"/>
      <c r="QP45" s="23"/>
      <c r="QQ45" s="23"/>
      <c r="QR45" s="23"/>
      <c r="QS45" s="23"/>
      <c r="QT45" s="23"/>
      <c r="QU45" s="23"/>
      <c r="QV45" s="23"/>
      <c r="QW45" s="23"/>
      <c r="QX45" s="23"/>
      <c r="QY45" s="23"/>
      <c r="QZ45" s="23"/>
    </row>
    <row r="46" spans="1:468" s="17" customFormat="1" ht="21" customHeight="1" x14ac:dyDescent="0.3">
      <c r="A46" s="23"/>
      <c r="B46" s="15" t="s">
        <v>16</v>
      </c>
      <c r="C46" s="113"/>
      <c r="D46" s="113"/>
      <c r="E46" s="113"/>
      <c r="F46" s="113"/>
      <c r="G46" s="113"/>
      <c r="H46" s="113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  <c r="IV46" s="23"/>
      <c r="IW46" s="23"/>
      <c r="IX46" s="23"/>
      <c r="IY46" s="23"/>
      <c r="IZ46" s="23"/>
      <c r="JA46" s="23"/>
      <c r="JB46" s="23"/>
      <c r="JC46" s="23"/>
      <c r="JD46" s="23"/>
      <c r="JE46" s="23"/>
      <c r="JF46" s="23"/>
      <c r="JG46" s="23"/>
      <c r="JH46" s="23"/>
      <c r="JI46" s="23"/>
      <c r="JJ46" s="23"/>
      <c r="JK46" s="23"/>
      <c r="JL46" s="23"/>
      <c r="JM46" s="23"/>
      <c r="JN46" s="23"/>
      <c r="JO46" s="23"/>
      <c r="JP46" s="23"/>
      <c r="JQ46" s="23"/>
      <c r="JR46" s="23"/>
      <c r="JS46" s="23"/>
      <c r="JT46" s="23"/>
      <c r="JU46" s="23"/>
      <c r="JV46" s="23"/>
      <c r="JW46" s="23"/>
      <c r="JX46" s="23"/>
      <c r="JY46" s="23"/>
      <c r="JZ46" s="23"/>
      <c r="KA46" s="23"/>
      <c r="KB46" s="23"/>
      <c r="KC46" s="23"/>
      <c r="KD46" s="23"/>
      <c r="KE46" s="23"/>
      <c r="KF46" s="23"/>
      <c r="KG46" s="23"/>
      <c r="KH46" s="23"/>
      <c r="KI46" s="23"/>
      <c r="KJ46" s="23"/>
      <c r="KK46" s="23"/>
      <c r="KL46" s="23"/>
      <c r="KM46" s="23"/>
      <c r="KN46" s="23"/>
      <c r="KO46" s="23"/>
      <c r="KP46" s="23"/>
      <c r="KQ46" s="23"/>
      <c r="KR46" s="23"/>
      <c r="KS46" s="23"/>
      <c r="KT46" s="23"/>
      <c r="KU46" s="23"/>
      <c r="KV46" s="23"/>
      <c r="KW46" s="23"/>
      <c r="KX46" s="23"/>
      <c r="KY46" s="23"/>
      <c r="KZ46" s="23"/>
      <c r="LA46" s="23"/>
      <c r="LB46" s="23"/>
      <c r="LC46" s="23"/>
      <c r="LD46" s="23"/>
      <c r="LE46" s="23"/>
      <c r="LF46" s="23"/>
      <c r="LG46" s="23"/>
      <c r="LH46" s="23"/>
      <c r="LI46" s="23"/>
      <c r="LJ46" s="23"/>
      <c r="LK46" s="23"/>
      <c r="LL46" s="23"/>
      <c r="LM46" s="23"/>
      <c r="LN46" s="23"/>
      <c r="LO46" s="23"/>
      <c r="LP46" s="23"/>
      <c r="LQ46" s="23"/>
      <c r="LR46" s="23"/>
      <c r="LS46" s="23"/>
      <c r="LT46" s="23"/>
      <c r="LU46" s="23"/>
      <c r="LV46" s="23"/>
      <c r="LW46" s="23"/>
      <c r="LX46" s="23"/>
      <c r="LY46" s="23"/>
      <c r="LZ46" s="23"/>
      <c r="MA46" s="23"/>
      <c r="MB46" s="23"/>
      <c r="MC46" s="23"/>
      <c r="MD46" s="23"/>
      <c r="ME46" s="23"/>
      <c r="MF46" s="23"/>
      <c r="MG46" s="23"/>
      <c r="MH46" s="23"/>
      <c r="MI46" s="23"/>
      <c r="MJ46" s="23"/>
      <c r="MK46" s="23"/>
      <c r="ML46" s="23"/>
      <c r="MM46" s="23"/>
      <c r="MN46" s="23"/>
      <c r="MO46" s="23"/>
      <c r="MP46" s="23"/>
      <c r="MQ46" s="23"/>
      <c r="MR46" s="23"/>
      <c r="MS46" s="23"/>
      <c r="MT46" s="23"/>
      <c r="MU46" s="23"/>
      <c r="MV46" s="23"/>
      <c r="MW46" s="23"/>
      <c r="MX46" s="23"/>
      <c r="MY46" s="23"/>
      <c r="MZ46" s="23"/>
      <c r="NA46" s="23"/>
      <c r="NB46" s="23"/>
    </row>
    <row r="47" spans="1:468" s="17" customFormat="1" ht="21" customHeight="1" x14ac:dyDescent="0.25">
      <c r="A47" s="23"/>
      <c r="B47" s="13"/>
      <c r="C47" s="112"/>
      <c r="D47" s="112"/>
      <c r="E47" s="112"/>
      <c r="F47" s="112"/>
      <c r="G47" s="112"/>
      <c r="H47" s="112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  <c r="IV47" s="23"/>
      <c r="IW47" s="23"/>
      <c r="IX47" s="23"/>
      <c r="IY47" s="23"/>
      <c r="IZ47" s="23"/>
      <c r="JA47" s="23"/>
      <c r="JB47" s="23"/>
      <c r="JC47" s="23"/>
      <c r="JD47" s="23"/>
      <c r="JE47" s="23"/>
      <c r="JF47" s="23"/>
      <c r="JG47" s="23"/>
      <c r="JH47" s="23"/>
      <c r="JI47" s="23"/>
      <c r="JJ47" s="23"/>
      <c r="JK47" s="23"/>
      <c r="JL47" s="23"/>
      <c r="JM47" s="23"/>
      <c r="JN47" s="23"/>
      <c r="JO47" s="23"/>
      <c r="JP47" s="23"/>
      <c r="JQ47" s="23"/>
      <c r="JR47" s="23"/>
      <c r="JS47" s="23"/>
      <c r="JT47" s="23"/>
      <c r="JU47" s="23"/>
      <c r="JV47" s="23"/>
      <c r="JW47" s="23"/>
      <c r="JX47" s="23"/>
      <c r="JY47" s="23"/>
      <c r="JZ47" s="23"/>
      <c r="KA47" s="23"/>
      <c r="KB47" s="23"/>
      <c r="KC47" s="23"/>
      <c r="KD47" s="23"/>
      <c r="KE47" s="23"/>
      <c r="KF47" s="23"/>
      <c r="KG47" s="23"/>
      <c r="KH47" s="23"/>
      <c r="KI47" s="23"/>
      <c r="KJ47" s="23"/>
      <c r="KK47" s="23"/>
      <c r="KL47" s="23"/>
      <c r="KM47" s="23"/>
      <c r="KN47" s="23"/>
      <c r="KO47" s="23"/>
      <c r="KP47" s="23"/>
      <c r="KQ47" s="23"/>
      <c r="KR47" s="23"/>
      <c r="KS47" s="23"/>
      <c r="KT47" s="23"/>
      <c r="KU47" s="23"/>
      <c r="KV47" s="23"/>
      <c r="KW47" s="23"/>
      <c r="KX47" s="23"/>
      <c r="KY47" s="23"/>
      <c r="KZ47" s="23"/>
      <c r="LA47" s="23"/>
      <c r="LB47" s="23"/>
      <c r="LC47" s="23"/>
      <c r="LD47" s="23"/>
      <c r="LE47" s="23"/>
      <c r="LF47" s="23"/>
      <c r="LG47" s="23"/>
      <c r="LH47" s="23"/>
      <c r="LI47" s="23"/>
      <c r="LJ47" s="23"/>
      <c r="LK47" s="23"/>
      <c r="LL47" s="23"/>
      <c r="LM47" s="23"/>
      <c r="LN47" s="23"/>
      <c r="LO47" s="23"/>
      <c r="LP47" s="23"/>
      <c r="LQ47" s="23"/>
      <c r="LR47" s="23"/>
      <c r="LS47" s="23"/>
      <c r="LT47" s="23"/>
      <c r="LU47" s="23"/>
      <c r="LV47" s="23"/>
      <c r="LW47" s="23"/>
      <c r="LX47" s="23"/>
      <c r="LY47" s="23"/>
      <c r="LZ47" s="23"/>
      <c r="MA47" s="23"/>
      <c r="MB47" s="23"/>
      <c r="MC47" s="23"/>
      <c r="MD47" s="23"/>
      <c r="ME47" s="23"/>
      <c r="MF47" s="23"/>
      <c r="MG47" s="23"/>
      <c r="MH47" s="23"/>
      <c r="MI47" s="23"/>
      <c r="MJ47" s="23"/>
      <c r="MK47" s="23"/>
      <c r="ML47" s="23"/>
      <c r="MM47" s="23"/>
      <c r="MN47" s="23"/>
      <c r="MO47" s="23"/>
      <c r="MP47" s="23"/>
      <c r="MQ47" s="23"/>
      <c r="MR47" s="23"/>
      <c r="MS47" s="23"/>
      <c r="MT47" s="23"/>
      <c r="MU47" s="23"/>
      <c r="MV47" s="23"/>
      <c r="MW47" s="23"/>
      <c r="MX47" s="23"/>
      <c r="MY47" s="23"/>
      <c r="MZ47" s="23"/>
      <c r="NA47" s="23"/>
      <c r="NB47" s="23"/>
    </row>
    <row r="48" spans="1:468" s="17" customFormat="1" ht="21" customHeight="1" x14ac:dyDescent="0.25">
      <c r="A48" s="23"/>
      <c r="B48" s="11"/>
      <c r="C48" s="112"/>
      <c r="D48" s="112"/>
      <c r="E48" s="112"/>
      <c r="F48" s="112"/>
      <c r="G48" s="112"/>
      <c r="H48" s="112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  <c r="IV48" s="23"/>
      <c r="IW48" s="23"/>
      <c r="IX48" s="23"/>
      <c r="IY48" s="23"/>
      <c r="IZ48" s="23"/>
      <c r="JA48" s="23"/>
      <c r="JB48" s="23"/>
      <c r="JC48" s="23"/>
      <c r="JD48" s="23"/>
      <c r="JE48" s="23"/>
      <c r="JF48" s="23"/>
      <c r="JG48" s="23"/>
      <c r="JH48" s="23"/>
      <c r="JI48" s="23"/>
      <c r="JJ48" s="23"/>
      <c r="JK48" s="23"/>
      <c r="JL48" s="23"/>
      <c r="JM48" s="23"/>
      <c r="JN48" s="23"/>
      <c r="JO48" s="23"/>
      <c r="JP48" s="23"/>
      <c r="JQ48" s="23"/>
      <c r="JR48" s="23"/>
      <c r="JS48" s="23"/>
      <c r="JT48" s="23"/>
      <c r="JU48" s="23"/>
      <c r="JV48" s="23"/>
      <c r="JW48" s="23"/>
      <c r="JX48" s="23"/>
      <c r="JY48" s="23"/>
      <c r="JZ48" s="23"/>
      <c r="KA48" s="23"/>
      <c r="KB48" s="23"/>
      <c r="KC48" s="23"/>
      <c r="KD48" s="23"/>
      <c r="KE48" s="23"/>
      <c r="KF48" s="23"/>
      <c r="KG48" s="23"/>
      <c r="KH48" s="23"/>
      <c r="KI48" s="23"/>
      <c r="KJ48" s="23"/>
      <c r="KK48" s="23"/>
      <c r="KL48" s="23"/>
      <c r="KM48" s="23"/>
      <c r="KN48" s="23"/>
      <c r="KO48" s="23"/>
      <c r="KP48" s="23"/>
      <c r="KQ48" s="23"/>
      <c r="KR48" s="23"/>
      <c r="KS48" s="23"/>
      <c r="KT48" s="23"/>
      <c r="KU48" s="23"/>
      <c r="KV48" s="23"/>
      <c r="KW48" s="23"/>
      <c r="KX48" s="23"/>
      <c r="KY48" s="23"/>
      <c r="KZ48" s="23"/>
      <c r="LA48" s="23"/>
      <c r="LB48" s="23"/>
      <c r="LC48" s="23"/>
      <c r="LD48" s="23"/>
      <c r="LE48" s="23"/>
      <c r="LF48" s="23"/>
      <c r="LG48" s="23"/>
      <c r="LH48" s="23"/>
      <c r="LI48" s="23"/>
      <c r="LJ48" s="23"/>
      <c r="LK48" s="23"/>
      <c r="LL48" s="23"/>
      <c r="LM48" s="23"/>
      <c r="LN48" s="23"/>
      <c r="LO48" s="23"/>
      <c r="LP48" s="23"/>
      <c r="LQ48" s="23"/>
      <c r="LR48" s="23"/>
      <c r="LS48" s="23"/>
      <c r="LT48" s="23"/>
      <c r="LU48" s="23"/>
      <c r="LV48" s="23"/>
      <c r="LW48" s="23"/>
      <c r="LX48" s="23"/>
      <c r="LY48" s="23"/>
      <c r="LZ48" s="23"/>
      <c r="MA48" s="23"/>
      <c r="MB48" s="23"/>
      <c r="MC48" s="23"/>
      <c r="MD48" s="23"/>
      <c r="ME48" s="23"/>
      <c r="MF48" s="23"/>
      <c r="MG48" s="23"/>
      <c r="MH48" s="23"/>
      <c r="MI48" s="23"/>
      <c r="MJ48" s="23"/>
      <c r="MK48" s="23"/>
      <c r="ML48" s="23"/>
      <c r="MM48" s="23"/>
      <c r="MN48" s="23"/>
      <c r="MO48" s="23"/>
      <c r="MP48" s="23"/>
      <c r="MQ48" s="23"/>
      <c r="MR48" s="23"/>
      <c r="MS48" s="23"/>
      <c r="MT48" s="23"/>
      <c r="MU48" s="23"/>
      <c r="MV48" s="23"/>
      <c r="MW48" s="23"/>
      <c r="MX48" s="23"/>
      <c r="MY48" s="23"/>
      <c r="MZ48" s="23"/>
      <c r="NA48" s="23"/>
      <c r="NB48" s="23"/>
    </row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</sheetData>
  <sheetProtection algorithmName="SHA-512" hashValue="HCswBEyONczVyFEG03tlYZcmVbDC8CAUHgALqEWhLrLseugxJRNaUii0rWgf3VI+TTwlcQDnSbG5wEw/0dNbNQ==" saltValue="69G7lbJizFZ90LS3/ZNKKA==" spinCount="100000" sheet="1" selectLockedCells="1"/>
  <mergeCells count="4">
    <mergeCell ref="A1:H1"/>
    <mergeCell ref="G10:H15"/>
    <mergeCell ref="B26:G26"/>
    <mergeCell ref="A28:H28"/>
  </mergeCells>
  <phoneticPr fontId="0" type="noConversion"/>
  <dataValidations disablePrompts="1" xWindow="497" yWindow="276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0E00-000000000000}"/>
  </dataValidations>
  <hyperlinks>
    <hyperlink ref="H38" r:id="rId1" xr:uid="{00000000-0004-0000-0E00-000000000000}"/>
    <hyperlink ref="H37" r:id="rId2" xr:uid="{00000000-0004-0000-0E00-000001000000}"/>
    <hyperlink ref="H36" r:id="rId3" xr:uid="{00000000-0004-0000-0E00-000002000000}"/>
    <hyperlink ref="H34" r:id="rId4" xr:uid="{00000000-0004-0000-0E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>
    <tabColor rgb="FFC00000"/>
    <pageSetUpPr fitToPage="1"/>
  </sheetPr>
  <dimension ref="A1:K49"/>
  <sheetViews>
    <sheetView showGridLines="0" showRowColHeaders="0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12" t="s">
        <v>195</v>
      </c>
      <c r="B1" s="512"/>
      <c r="C1" s="512"/>
      <c r="D1" s="512"/>
      <c r="E1" s="512"/>
      <c r="F1" s="512"/>
      <c r="G1" s="512"/>
      <c r="H1" s="512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35"/>
      <c r="C3" s="36"/>
      <c r="D3" s="94" t="s">
        <v>87</v>
      </c>
      <c r="E3" s="37">
        <v>200</v>
      </c>
      <c r="F3" s="2"/>
      <c r="G3" s="2"/>
      <c r="H3" s="3"/>
    </row>
    <row r="4" spans="1:8" ht="18" customHeight="1" x14ac:dyDescent="0.3">
      <c r="A4" s="22"/>
      <c r="B4" s="35"/>
      <c r="C4" s="36"/>
      <c r="D4" s="95" t="s">
        <v>13</v>
      </c>
      <c r="E4" s="38">
        <v>0</v>
      </c>
      <c r="F4" s="2"/>
      <c r="G4" s="2"/>
      <c r="H4" s="3"/>
    </row>
    <row r="5" spans="1:8" ht="18" customHeight="1" x14ac:dyDescent="0.3">
      <c r="A5" s="22"/>
      <c r="B5" s="35"/>
      <c r="C5" s="36"/>
      <c r="D5" s="95" t="s">
        <v>86</v>
      </c>
      <c r="E5" s="348">
        <f>E3+E3*E4/100</f>
        <v>200</v>
      </c>
      <c r="F5" s="2"/>
      <c r="G5" s="2"/>
      <c r="H5" s="3"/>
    </row>
    <row r="6" spans="1:8" ht="12.75" customHeight="1" x14ac:dyDescent="0.25">
      <c r="A6" s="22"/>
      <c r="B6" s="9"/>
      <c r="C6" s="22"/>
      <c r="D6" s="22"/>
      <c r="E6" s="22"/>
      <c r="F6" s="22"/>
      <c r="G6" s="22"/>
    </row>
    <row r="7" spans="1:8" ht="18" customHeight="1" thickBot="1" x14ac:dyDescent="0.35">
      <c r="A7" s="7"/>
      <c r="B7" s="100" t="s">
        <v>0</v>
      </c>
      <c r="C7" s="453" t="s">
        <v>307</v>
      </c>
      <c r="D7" s="102" t="s">
        <v>20</v>
      </c>
      <c r="E7" s="102" t="s">
        <v>21</v>
      </c>
      <c r="F7" s="102" t="s">
        <v>22</v>
      </c>
      <c r="G7" s="4"/>
      <c r="H7" s="1"/>
    </row>
    <row r="8" spans="1:8" ht="18" customHeight="1" thickTop="1" x14ac:dyDescent="0.3">
      <c r="A8" s="22"/>
      <c r="B8" s="103" t="s">
        <v>11</v>
      </c>
      <c r="C8" s="88">
        <v>0.2</v>
      </c>
      <c r="D8" s="89">
        <v>0.2</v>
      </c>
      <c r="E8" s="89">
        <v>0.4</v>
      </c>
      <c r="F8" s="89">
        <v>0.2</v>
      </c>
      <c r="G8" s="74">
        <f>SUM(C8,D8,E8,F8)</f>
        <v>1</v>
      </c>
      <c r="H8" s="1"/>
    </row>
    <row r="9" spans="1:8" ht="18.75" hidden="1" customHeight="1" x14ac:dyDescent="0.25">
      <c r="A9" s="22"/>
      <c r="B9" s="51" t="s">
        <v>67</v>
      </c>
      <c r="C9" s="104">
        <v>0.48</v>
      </c>
      <c r="D9" s="105">
        <v>0.72</v>
      </c>
      <c r="E9" s="105">
        <v>0.96</v>
      </c>
      <c r="F9" s="105">
        <v>1.45</v>
      </c>
      <c r="G9" s="22"/>
    </row>
    <row r="10" spans="1:8" ht="12.75" customHeight="1" x14ac:dyDescent="0.25">
      <c r="A10" s="22"/>
      <c r="B10" s="50" t="s">
        <v>1</v>
      </c>
      <c r="C10" s="106">
        <f>+($E$5*C8)/C9</f>
        <v>83.333333333333343</v>
      </c>
      <c r="D10" s="107">
        <f>+($E$5*D8)/D9</f>
        <v>55.555555555555557</v>
      </c>
      <c r="E10" s="107">
        <f>+($E$5*E8)/E9</f>
        <v>83.333333333333343</v>
      </c>
      <c r="F10" s="107">
        <f>+($E$5*F8)/F9</f>
        <v>27.586206896551726</v>
      </c>
      <c r="G10" s="490" t="s">
        <v>90</v>
      </c>
      <c r="H10" s="490"/>
    </row>
    <row r="11" spans="1:8" ht="12.75" customHeight="1" x14ac:dyDescent="0.25">
      <c r="A11" s="22"/>
      <c r="B11" s="145" t="s">
        <v>68</v>
      </c>
      <c r="C11" s="104">
        <v>180</v>
      </c>
      <c r="D11" s="105">
        <v>84</v>
      </c>
      <c r="E11" s="105">
        <v>70</v>
      </c>
      <c r="F11" s="105">
        <v>40</v>
      </c>
      <c r="G11" s="490"/>
      <c r="H11" s="490"/>
    </row>
    <row r="12" spans="1:8" ht="12.75" customHeight="1" thickBot="1" x14ac:dyDescent="0.3">
      <c r="A12" s="22"/>
      <c r="B12" s="115" t="s">
        <v>84</v>
      </c>
      <c r="C12" s="138">
        <v>12</v>
      </c>
      <c r="D12" s="138">
        <v>10.5</v>
      </c>
      <c r="E12" s="105">
        <v>10</v>
      </c>
      <c r="F12" s="105">
        <v>10</v>
      </c>
      <c r="G12" s="490"/>
      <c r="H12" s="490"/>
    </row>
    <row r="13" spans="1:8" ht="18.75" hidden="1" customHeight="1" x14ac:dyDescent="0.25">
      <c r="A13" s="22"/>
      <c r="B13" s="116" t="s">
        <v>64</v>
      </c>
      <c r="C13" s="138">
        <v>12</v>
      </c>
      <c r="D13" s="138">
        <v>11</v>
      </c>
      <c r="E13" s="105">
        <v>10</v>
      </c>
      <c r="F13" s="105">
        <v>10</v>
      </c>
      <c r="G13" s="490"/>
      <c r="H13" s="490"/>
    </row>
    <row r="14" spans="1:8" ht="18.75" hidden="1" customHeight="1" thickBot="1" x14ac:dyDescent="0.3">
      <c r="A14" s="22"/>
      <c r="B14" s="116" t="s">
        <v>65</v>
      </c>
      <c r="C14" s="138">
        <v>12</v>
      </c>
      <c r="D14" s="138">
        <v>10</v>
      </c>
      <c r="E14" s="105">
        <v>10</v>
      </c>
      <c r="F14" s="105">
        <v>10</v>
      </c>
      <c r="G14" s="490"/>
      <c r="H14" s="490"/>
    </row>
    <row r="15" spans="1:8" ht="18" customHeight="1" thickBot="1" x14ac:dyDescent="0.3">
      <c r="A15" s="22"/>
      <c r="B15" s="52" t="s">
        <v>69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0</v>
      </c>
      <c r="E15" s="65">
        <f>IF(MOD(E10+E13,E11)&lt;=E13,1+ROUNDDOWN(E10/E11,0),ROUNDDOWN(E10/E11,0))</f>
        <v>1</v>
      </c>
      <c r="F15" s="65">
        <f>IF(MOD(F10+F13,F11)&lt;=F13,1+ROUNDDOWN(F10/F11,0),ROUNDDOWN(F10/F11,0))</f>
        <v>0</v>
      </c>
      <c r="G15" s="490"/>
      <c r="H15" s="490"/>
    </row>
    <row r="16" spans="1:8" ht="18" customHeight="1" thickBot="1" x14ac:dyDescent="0.3">
      <c r="A16" s="22"/>
      <c r="B16" s="139" t="s">
        <v>85</v>
      </c>
      <c r="C16" s="119">
        <f>IF(ROUNDUP((C10-(C11*C15))/C12,0)&lt;0,0,ROUNDUP((C10-(C11*C15))/C12,0))</f>
        <v>7</v>
      </c>
      <c r="D16" s="119">
        <f>IF(ROUNDUP((D10-(D11*D15))/D12,0)&lt;0,0,ROUNDUP((D10-(D11*D15))/D12,0))</f>
        <v>6</v>
      </c>
      <c r="E16" s="131">
        <f>IF(ROUNDUP((E10-(E11*E15))/E12,0)&lt;0,0,ROUNDUP((E10-(E11*E15))/E12,0))</f>
        <v>2</v>
      </c>
      <c r="F16" s="131">
        <f>IF(ROUNDUP((F10-(F11*F15))/F12,0)&lt;0,0,ROUNDUP((F10-(F11*F15))/F12,0))</f>
        <v>3</v>
      </c>
      <c r="G16" s="22"/>
    </row>
    <row r="17" spans="1:11" ht="18" customHeight="1" x14ac:dyDescent="0.25">
      <c r="A17" s="22"/>
      <c r="B17" s="140" t="s">
        <v>66</v>
      </c>
      <c r="C17" s="123">
        <f>(C15*C11)+(ROUNDUP(C16/2,0)*C13)+(ROUNDDOWN(C16/2,0)*C14)</f>
        <v>84</v>
      </c>
      <c r="D17" s="123">
        <f>(D15*D11)+(ROUNDUP(D16/2,0)*D13)+(ROUNDDOWN(D16/2,0)*D14)</f>
        <v>63</v>
      </c>
      <c r="E17" s="132">
        <f>(E15*E11)+(ROUNDUP(E16/2,0)*E13)+(ROUNDDOWN(E16/2,0)*E14)</f>
        <v>90</v>
      </c>
      <c r="F17" s="132">
        <f>(F15*F11)+(ROUNDUP(F16/2,0)*F13)+(ROUNDDOWN(F16/2,0)*F14)</f>
        <v>30</v>
      </c>
      <c r="G17" s="22"/>
    </row>
    <row r="18" spans="1:11" ht="12.75" customHeight="1" x14ac:dyDescent="0.25">
      <c r="A18" s="22"/>
      <c r="B18" s="144" t="s">
        <v>71</v>
      </c>
      <c r="C18" s="25">
        <f>C11*C19</f>
        <v>2737.8</v>
      </c>
      <c r="D18" s="25">
        <f>D11*D19</f>
        <v>2426.34</v>
      </c>
      <c r="E18" s="25">
        <f>E11*E19</f>
        <v>2870.7</v>
      </c>
      <c r="F18" s="25">
        <f>F11*F19</f>
        <v>2399.1999999999998</v>
      </c>
      <c r="G18" s="22"/>
    </row>
    <row r="19" spans="1:11" ht="12.75" customHeight="1" x14ac:dyDescent="0.25">
      <c r="A19" s="22"/>
      <c r="B19" s="266" t="s">
        <v>70</v>
      </c>
      <c r="C19" s="32">
        <v>15.21</v>
      </c>
      <c r="D19" s="32">
        <v>28.885000000000002</v>
      </c>
      <c r="E19" s="32">
        <v>41.01</v>
      </c>
      <c r="F19" s="32">
        <v>59.98</v>
      </c>
      <c r="G19" s="22"/>
    </row>
    <row r="20" spans="1:11" ht="18" hidden="1" customHeight="1" x14ac:dyDescent="0.25">
      <c r="A20" s="22"/>
      <c r="B20" s="24" t="s">
        <v>72</v>
      </c>
      <c r="C20" s="25">
        <f>+C17*C9</f>
        <v>40.32</v>
      </c>
      <c r="D20" s="25">
        <f>+D17*D9</f>
        <v>45.36</v>
      </c>
      <c r="E20" s="25">
        <f>+E17*E9</f>
        <v>86.399999999999991</v>
      </c>
      <c r="F20" s="25">
        <f>+F17*F9</f>
        <v>43.5</v>
      </c>
      <c r="G20" s="22"/>
    </row>
    <row r="21" spans="1:11" ht="12.75" customHeight="1" x14ac:dyDescent="0.25">
      <c r="A21" s="22"/>
      <c r="B21" s="24"/>
      <c r="C21" s="25"/>
      <c r="D21" s="25"/>
      <c r="E21" s="25"/>
      <c r="F21" s="25"/>
      <c r="G21" s="22"/>
    </row>
    <row r="22" spans="1:11" ht="12.75" customHeight="1" x14ac:dyDescent="0.25">
      <c r="A22" s="22"/>
      <c r="B22" s="86" t="s">
        <v>89</v>
      </c>
      <c r="C22" s="25"/>
      <c r="D22" s="25"/>
      <c r="E22" s="25"/>
      <c r="F22" s="25"/>
      <c r="G22" s="22"/>
    </row>
    <row r="23" spans="1:11" ht="12.75" customHeight="1" x14ac:dyDescent="0.25">
      <c r="A23" s="22"/>
      <c r="B23" s="87" t="s">
        <v>50</v>
      </c>
      <c r="C23" s="22"/>
      <c r="D23" s="22"/>
      <c r="E23" s="22"/>
      <c r="F23" s="22"/>
      <c r="G23" s="22"/>
    </row>
    <row r="24" spans="1:11" ht="18" customHeight="1" x14ac:dyDescent="0.25">
      <c r="A24" s="44"/>
      <c r="B24" s="44"/>
      <c r="C24" s="243" t="s">
        <v>93</v>
      </c>
      <c r="D24" s="234">
        <f>SUM(C20:F20)</f>
        <v>215.57999999999998</v>
      </c>
      <c r="E24" s="244" t="s">
        <v>94</v>
      </c>
      <c r="F24" s="44"/>
      <c r="G24" s="44"/>
      <c r="H24" s="46"/>
      <c r="K24" s="22"/>
    </row>
    <row r="25" spans="1:11" ht="18" customHeight="1" x14ac:dyDescent="0.25">
      <c r="A25" s="39"/>
      <c r="B25" s="39"/>
      <c r="C25" s="69" t="s">
        <v>95</v>
      </c>
      <c r="D25" s="70">
        <f>ROUND(+D24/30,0)</f>
        <v>7</v>
      </c>
      <c r="E25" s="245" t="s">
        <v>4</v>
      </c>
      <c r="F25" s="39"/>
      <c r="G25" s="39"/>
      <c r="H25" s="35"/>
    </row>
    <row r="26" spans="1:11" ht="12.75" customHeight="1" x14ac:dyDescent="0.25">
      <c r="A26" s="39"/>
      <c r="B26" s="487" t="s">
        <v>8</v>
      </c>
      <c r="C26" s="487"/>
      <c r="D26" s="487"/>
      <c r="E26" s="487"/>
      <c r="F26" s="487"/>
      <c r="G26" s="487"/>
      <c r="H26" s="35"/>
    </row>
    <row r="27" spans="1:11" ht="18" customHeight="1" x14ac:dyDescent="0.25">
      <c r="A27" s="44"/>
      <c r="B27" s="44"/>
      <c r="C27" s="243" t="s">
        <v>96</v>
      </c>
      <c r="D27" s="234">
        <f>SUM(C17*C19+D17*D19+E17*E19+F17*F19)</f>
        <v>8587.6949999999997</v>
      </c>
      <c r="E27" s="244" t="s">
        <v>3</v>
      </c>
      <c r="F27" s="44"/>
      <c r="G27" s="44"/>
      <c r="H27" s="46"/>
    </row>
    <row r="28" spans="1:11" s="11" customFormat="1" ht="12.75" customHeight="1" x14ac:dyDescent="0.25">
      <c r="A28" s="13"/>
      <c r="B28" s="13"/>
      <c r="C28" s="13"/>
      <c r="D28" s="13"/>
      <c r="E28" s="13"/>
      <c r="F28" s="13"/>
    </row>
    <row r="29" spans="1:11" s="11" customFormat="1" ht="12.75" customHeight="1" x14ac:dyDescent="0.25">
      <c r="A29" s="13"/>
      <c r="B29" s="13"/>
      <c r="C29" s="13"/>
      <c r="D29" s="13"/>
      <c r="E29" s="13"/>
      <c r="F29" s="13"/>
    </row>
    <row r="30" spans="1:11" s="11" customFormat="1" ht="12.75" customHeight="1" x14ac:dyDescent="0.25">
      <c r="A30" s="13"/>
      <c r="B30" s="13"/>
      <c r="C30" s="13"/>
      <c r="D30" s="13"/>
      <c r="F30" s="19"/>
    </row>
    <row r="31" spans="1:11" s="11" customFormat="1" ht="18" customHeight="1" x14ac:dyDescent="0.25">
      <c r="A31" s="13"/>
      <c r="B31" s="13"/>
      <c r="C31" s="13"/>
      <c r="D31" s="13"/>
      <c r="E31" s="13"/>
      <c r="F31" s="19"/>
      <c r="G31" s="13"/>
      <c r="H31" s="223" t="s">
        <v>9</v>
      </c>
    </row>
    <row r="32" spans="1:11" s="11" customFormat="1" ht="12.75" customHeight="1" x14ac:dyDescent="0.25">
      <c r="A32" s="13"/>
      <c r="B32" s="13"/>
      <c r="C32" s="13"/>
      <c r="D32" s="13"/>
      <c r="E32" s="13"/>
      <c r="F32" s="19"/>
      <c r="G32" s="13"/>
    </row>
    <row r="33" spans="1:8" s="11" customFormat="1" ht="12.75" customHeight="1" x14ac:dyDescent="0.25">
      <c r="A33" s="13"/>
      <c r="B33" s="13"/>
      <c r="C33" s="13"/>
      <c r="D33" s="13"/>
      <c r="E33" s="13"/>
      <c r="F33" s="19"/>
      <c r="G33" s="13"/>
      <c r="H33" s="224" t="s">
        <v>56</v>
      </c>
    </row>
    <row r="34" spans="1:8" s="11" customFormat="1" ht="12.75" customHeight="1" x14ac:dyDescent="0.25">
      <c r="A34" s="13"/>
      <c r="B34" s="13"/>
      <c r="C34" s="13"/>
      <c r="D34" s="13"/>
      <c r="E34" s="13"/>
      <c r="F34" s="19"/>
      <c r="G34" s="13"/>
      <c r="H34" s="199" t="s">
        <v>55</v>
      </c>
    </row>
    <row r="35" spans="1:8" s="11" customFormat="1" ht="12.75" customHeight="1" x14ac:dyDescent="0.25">
      <c r="A35" s="13"/>
      <c r="B35" s="13"/>
      <c r="C35" s="13"/>
      <c r="D35" s="13"/>
      <c r="E35" s="13"/>
      <c r="F35" s="19"/>
      <c r="H35" s="246"/>
    </row>
    <row r="36" spans="1:8" s="11" customFormat="1" ht="12.75" customHeight="1" x14ac:dyDescent="0.25">
      <c r="A36" s="13"/>
      <c r="B36" s="13"/>
      <c r="C36" s="13"/>
      <c r="D36" s="13"/>
      <c r="E36" s="13"/>
      <c r="F36" s="19"/>
      <c r="G36" s="13"/>
      <c r="H36" s="199" t="s">
        <v>6</v>
      </c>
    </row>
    <row r="37" spans="1:8" s="11" customFormat="1" ht="12.75" customHeight="1" x14ac:dyDescent="0.25">
      <c r="A37" s="13"/>
      <c r="B37" s="13"/>
      <c r="C37" s="13"/>
      <c r="D37" s="13"/>
      <c r="E37" s="13"/>
      <c r="F37" s="19"/>
      <c r="G37" s="13"/>
      <c r="H37" s="199" t="s">
        <v>59</v>
      </c>
    </row>
    <row r="38" spans="1:8" s="11" customFormat="1" ht="12.75" customHeight="1" x14ac:dyDescent="0.25">
      <c r="A38" s="13"/>
      <c r="B38" s="13"/>
      <c r="C38" s="13"/>
      <c r="D38" s="13"/>
      <c r="F38" s="20"/>
      <c r="G38" s="13"/>
      <c r="H38" s="199" t="s">
        <v>10</v>
      </c>
    </row>
    <row r="39" spans="1:8" s="11" customFormat="1" ht="12.75" customHeight="1" x14ac:dyDescent="0.25">
      <c r="A39" s="13"/>
      <c r="B39" s="13"/>
      <c r="C39" s="13"/>
      <c r="D39" s="13"/>
      <c r="F39" s="20"/>
      <c r="G39" s="13"/>
      <c r="H39" s="225" t="s">
        <v>7</v>
      </c>
    </row>
    <row r="40" spans="1:8" s="11" customFormat="1" ht="12.75" customHeight="1" x14ac:dyDescent="0.25">
      <c r="A40" s="13"/>
      <c r="B40" s="13"/>
      <c r="C40" s="13"/>
      <c r="D40" s="13"/>
      <c r="F40" s="20"/>
      <c r="G40" s="13"/>
    </row>
    <row r="41" spans="1:8" s="11" customFormat="1" ht="12.75" customHeight="1" x14ac:dyDescent="0.25">
      <c r="A41" s="13"/>
      <c r="B41" s="13"/>
      <c r="C41" s="13"/>
      <c r="D41" s="13"/>
      <c r="F41" s="20"/>
      <c r="G41" s="13"/>
    </row>
    <row r="42" spans="1:8" s="11" customFormat="1" ht="12.75" customHeight="1" x14ac:dyDescent="0.25">
      <c r="A42" s="13"/>
      <c r="B42" s="13"/>
      <c r="C42" s="13"/>
      <c r="D42" s="13"/>
      <c r="F42" s="20"/>
      <c r="G42" s="13"/>
    </row>
    <row r="43" spans="1:8" s="11" customFormat="1" ht="12.75" customHeight="1" x14ac:dyDescent="0.25">
      <c r="A43" s="13"/>
      <c r="B43" s="13"/>
      <c r="C43" s="13"/>
      <c r="D43" s="13"/>
      <c r="F43" s="21"/>
      <c r="G43" s="13"/>
    </row>
    <row r="44" spans="1:8" s="11" customFormat="1" ht="12.75" customHeight="1" x14ac:dyDescent="0.25">
      <c r="A44" s="13"/>
      <c r="B44" s="13"/>
      <c r="C44" s="13"/>
      <c r="D44" s="13"/>
      <c r="F44" s="21"/>
      <c r="G44" s="13"/>
    </row>
    <row r="45" spans="1:8" s="11" customFormat="1" ht="12.75" customHeight="1" x14ac:dyDescent="0.25">
      <c r="A45" s="13"/>
      <c r="B45" s="13"/>
      <c r="C45" s="13"/>
      <c r="D45" s="13"/>
      <c r="E45" s="13"/>
      <c r="F45" s="21"/>
      <c r="G45" s="13"/>
    </row>
    <row r="46" spans="1: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8" ht="21" customHeight="1" x14ac:dyDescent="0.25">
      <c r="A48" s="13"/>
      <c r="B48" s="11"/>
      <c r="C48" s="112"/>
      <c r="D48" s="112"/>
      <c r="E48" s="112"/>
      <c r="F48" s="112"/>
      <c r="G48" s="112"/>
      <c r="H48" s="112"/>
    </row>
    <row r="49" spans="1:7" x14ac:dyDescent="0.25">
      <c r="A49" s="22"/>
      <c r="G49" s="8"/>
    </row>
  </sheetData>
  <sheetProtection algorithmName="SHA-512" hashValue="uxdsGWAJoxrBgzRH3TU1GKnxBh1wsXjUfaoiRCQnhJM99B+NMn39p5zhaiMYcGoL+o34ZVgy5dnF77mEIjmNyA==" saltValue="Q7UKv31bxE9Ag0BkfC+EhA==" spinCount="100000" sheet="1" selectLockedCells="1"/>
  <mergeCells count="3">
    <mergeCell ref="A1:H1"/>
    <mergeCell ref="G10:H15"/>
    <mergeCell ref="B26:G26"/>
  </mergeCells>
  <phoneticPr fontId="0" type="noConversion"/>
  <dataValidations disablePrompts="1" xWindow="625" yWindow="190" count="1">
    <dataValidation type="whole" errorStyle="warning" allowBlank="1" showInputMessage="1" errorTitle=" " error=" " promptTitle="Typical Waste Allowance" prompt="Typical allowance required is 2-5%. Projects with a higher than average number of openings and corners may require a higher allowance.  " sqref="E4" xr:uid="{00000000-0002-0000-0F00-000000000000}">
      <formula1>5</formula1>
      <formula2>100</formula2>
    </dataValidation>
  </dataValidations>
  <hyperlinks>
    <hyperlink ref="H38" r:id="rId1" xr:uid="{00000000-0004-0000-0F00-000000000000}"/>
    <hyperlink ref="H37" r:id="rId2" xr:uid="{00000000-0004-0000-0F00-000001000000}"/>
    <hyperlink ref="H36" r:id="rId3" xr:uid="{00000000-0004-0000-0F00-000002000000}"/>
    <hyperlink ref="H34" r:id="rId4" xr:uid="{00000000-0004-0000-0F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0">
    <tabColor rgb="FFC00000"/>
  </sheetPr>
  <dimension ref="A1:R60"/>
  <sheetViews>
    <sheetView showGridLines="0" showRowColHeaders="0"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12" t="s">
        <v>196</v>
      </c>
      <c r="B1" s="512"/>
      <c r="C1" s="512"/>
      <c r="D1" s="512"/>
      <c r="E1" s="512"/>
      <c r="F1" s="512"/>
      <c r="G1" s="512"/>
      <c r="H1" s="512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1"/>
      <c r="C3" s="36"/>
      <c r="D3" s="94" t="s">
        <v>87</v>
      </c>
      <c r="E3" s="96">
        <v>200</v>
      </c>
      <c r="F3" s="2"/>
      <c r="G3" s="2"/>
      <c r="H3" s="3"/>
    </row>
    <row r="4" spans="1:8" ht="18" customHeight="1" x14ac:dyDescent="0.3">
      <c r="A4" s="22"/>
      <c r="B4" s="35"/>
      <c r="C4" s="36"/>
      <c r="D4" s="95" t="s">
        <v>13</v>
      </c>
      <c r="E4" s="97">
        <v>0</v>
      </c>
      <c r="G4" s="2"/>
      <c r="H4" s="3"/>
    </row>
    <row r="5" spans="1:8" ht="18" customHeight="1" x14ac:dyDescent="0.3">
      <c r="A5" s="22"/>
      <c r="B5" s="35"/>
      <c r="C5" s="36"/>
      <c r="D5" s="95" t="s">
        <v>86</v>
      </c>
      <c r="E5" s="344">
        <f>E3+E3*E4/100</f>
        <v>200</v>
      </c>
      <c r="F5" s="2"/>
      <c r="G5" s="2"/>
      <c r="H5" s="3"/>
    </row>
    <row r="6" spans="1:8" ht="12.75" customHeight="1" x14ac:dyDescent="0.25">
      <c r="A6" s="22"/>
      <c r="B6" s="9"/>
      <c r="C6" s="22"/>
      <c r="D6" s="22"/>
      <c r="E6" s="22"/>
      <c r="F6" s="22"/>
      <c r="G6" s="22"/>
    </row>
    <row r="7" spans="1:8" ht="18" customHeight="1" thickBot="1" x14ac:dyDescent="0.35">
      <c r="A7" s="7"/>
      <c r="B7" s="100" t="s">
        <v>0</v>
      </c>
      <c r="C7" s="101" t="s">
        <v>43</v>
      </c>
      <c r="D7" s="146" t="s">
        <v>44</v>
      </c>
      <c r="E7" s="247"/>
      <c r="G7" s="4"/>
      <c r="H7" s="1"/>
    </row>
    <row r="8" spans="1:8" ht="18" customHeight="1" thickTop="1" x14ac:dyDescent="0.3">
      <c r="A8" s="22"/>
      <c r="B8" s="103" t="s">
        <v>11</v>
      </c>
      <c r="C8" s="88">
        <v>0.75</v>
      </c>
      <c r="D8" s="89">
        <v>0.25</v>
      </c>
      <c r="E8" s="74">
        <f>SUM(A8,B8,C8,D8)</f>
        <v>1</v>
      </c>
      <c r="G8" s="4"/>
      <c r="H8" s="1"/>
    </row>
    <row r="9" spans="1:8" ht="18.75" hidden="1" customHeight="1" x14ac:dyDescent="0.25">
      <c r="A9" s="22"/>
      <c r="B9" s="51" t="s">
        <v>67</v>
      </c>
      <c r="C9" s="263">
        <f>1/1.12941176470588</f>
        <v>0.88541666666666863</v>
      </c>
      <c r="D9" s="105">
        <v>1.79</v>
      </c>
      <c r="E9" s="248"/>
      <c r="G9" s="22"/>
    </row>
    <row r="10" spans="1:8" ht="12.75" customHeight="1" x14ac:dyDescent="0.25">
      <c r="A10" s="22"/>
      <c r="B10" s="50" t="s">
        <v>1</v>
      </c>
      <c r="C10" s="106">
        <f>+($E$5*C8)/C9</f>
        <v>169.41176470588198</v>
      </c>
      <c r="D10" s="107">
        <f>+($E$5*D8)/D9</f>
        <v>27.932960893854748</v>
      </c>
      <c r="E10" s="264"/>
      <c r="G10" s="490" t="s">
        <v>90</v>
      </c>
      <c r="H10" s="490"/>
    </row>
    <row r="11" spans="1:8" ht="12.75" customHeight="1" x14ac:dyDescent="0.25">
      <c r="A11" s="22"/>
      <c r="B11" s="51" t="s">
        <v>68</v>
      </c>
      <c r="C11" s="104">
        <v>84</v>
      </c>
      <c r="D11" s="105">
        <v>39</v>
      </c>
      <c r="E11" s="265"/>
      <c r="G11" s="490"/>
      <c r="H11" s="490"/>
    </row>
    <row r="12" spans="1:8" ht="12.75" customHeight="1" thickBot="1" x14ac:dyDescent="0.3">
      <c r="A12" s="22"/>
      <c r="B12" s="115" t="s">
        <v>84</v>
      </c>
      <c r="C12" s="138">
        <v>12</v>
      </c>
      <c r="D12" s="138">
        <v>13</v>
      </c>
      <c r="E12" s="265"/>
      <c r="G12" s="490"/>
      <c r="H12" s="490"/>
    </row>
    <row r="13" spans="1:8" ht="18.75" hidden="1" customHeight="1" x14ac:dyDescent="0.25">
      <c r="A13" s="22"/>
      <c r="B13" s="116" t="s">
        <v>64</v>
      </c>
      <c r="C13" s="138">
        <v>12</v>
      </c>
      <c r="D13" s="138">
        <v>13</v>
      </c>
      <c r="E13" s="265"/>
      <c r="G13" s="490"/>
      <c r="H13" s="490"/>
    </row>
    <row r="14" spans="1:8" ht="18.75" hidden="1" customHeight="1" thickBot="1" x14ac:dyDescent="0.3">
      <c r="A14" s="22"/>
      <c r="B14" s="116" t="s">
        <v>65</v>
      </c>
      <c r="C14" s="138">
        <v>12</v>
      </c>
      <c r="D14" s="138">
        <v>13</v>
      </c>
      <c r="E14" s="265"/>
      <c r="G14" s="490"/>
      <c r="H14" s="490"/>
    </row>
    <row r="15" spans="1:8" ht="18" customHeight="1" thickBot="1" x14ac:dyDescent="0.3">
      <c r="A15" s="22"/>
      <c r="B15" s="52" t="s">
        <v>69</v>
      </c>
      <c r="C15" s="119">
        <f>IF(MOD(C10+C13,C11)&lt;=C13,1+ROUNDDOWN(C10/C11,0),ROUNDDOWN(C10/C11,0))</f>
        <v>2</v>
      </c>
      <c r="D15" s="65">
        <f>IF(MOD(D10+D13,D11)&lt;=D13,1+ROUNDDOWN(D10/D11,0),ROUNDDOWN(D10/D11,0))</f>
        <v>1</v>
      </c>
      <c r="E15" s="265"/>
      <c r="G15" s="490"/>
      <c r="H15" s="490"/>
    </row>
    <row r="16" spans="1:8" ht="18" customHeight="1" thickBot="1" x14ac:dyDescent="0.3">
      <c r="A16" s="22"/>
      <c r="B16" s="139" t="s">
        <v>85</v>
      </c>
      <c r="C16" s="119">
        <f>IF(ROUNDUP((C10-(C11*C15))/C12,0)&lt;0,0,ROUNDUP((C10-(C11*C15))/C12,0))</f>
        <v>1</v>
      </c>
      <c r="D16" s="119">
        <f>IF(ROUNDUP((D10-(D11*D15))/D12,0)&lt;0,0,ROUNDUP((D10-(D11*D15))/D12,0))</f>
        <v>0</v>
      </c>
      <c r="E16" s="265"/>
      <c r="G16" s="22"/>
    </row>
    <row r="17" spans="1:18" ht="18" customHeight="1" x14ac:dyDescent="0.25">
      <c r="A17" s="22"/>
      <c r="B17" s="140" t="s">
        <v>66</v>
      </c>
      <c r="C17" s="123">
        <f>(C15*C11)+IF(OR(C16=3,C16=8,C16=13),(ROUNDUP(C16*0.67,0)*C13)+(ROUNDDOWN(C16*0.31,0)*C14),(ROUNDUP(C16*0.6,0)*C13)+(ROUNDDOWN(C16*0.4,0)*C14))</f>
        <v>180</v>
      </c>
      <c r="D17" s="123">
        <f>(D15*D11)+(ROUNDUP(D16/2,0)*D13)+(ROUNDDOWN(D16/2,0)*D14)</f>
        <v>39</v>
      </c>
      <c r="E17" s="265"/>
      <c r="G17" s="22"/>
    </row>
    <row r="18" spans="1:18" ht="12.75" customHeight="1" x14ac:dyDescent="0.25">
      <c r="A18" s="22"/>
      <c r="B18" s="143" t="s">
        <v>71</v>
      </c>
      <c r="C18" s="78">
        <f>C11*C19</f>
        <v>2834.1600000000003</v>
      </c>
      <c r="D18" s="78">
        <f>D11*D19</f>
        <v>2717.442</v>
      </c>
      <c r="E18" s="25"/>
      <c r="G18" s="22"/>
    </row>
    <row r="19" spans="1:18" ht="12.75" customHeight="1" x14ac:dyDescent="0.25">
      <c r="A19" s="22"/>
      <c r="B19" s="217" t="s">
        <v>70</v>
      </c>
      <c r="C19" s="236">
        <v>33.74</v>
      </c>
      <c r="D19" s="236">
        <v>69.677999999999997</v>
      </c>
      <c r="E19" s="257"/>
      <c r="G19" s="22"/>
    </row>
    <row r="20" spans="1:18" ht="12.75" hidden="1" customHeight="1" x14ac:dyDescent="0.25">
      <c r="A20" s="22"/>
      <c r="B20" s="24" t="s">
        <v>72</v>
      </c>
      <c r="C20" s="25">
        <f>+C17*C9</f>
        <v>159.37500000000034</v>
      </c>
      <c r="D20" s="25">
        <f>+D17*D9</f>
        <v>69.81</v>
      </c>
      <c r="E20" s="161"/>
      <c r="G20" s="22"/>
    </row>
    <row r="21" spans="1:18" ht="12.75" customHeight="1" x14ac:dyDescent="0.25">
      <c r="A21" s="22"/>
      <c r="B21" s="24"/>
      <c r="C21" s="25"/>
      <c r="D21" s="25"/>
      <c r="E21" s="161"/>
      <c r="G21" s="22"/>
    </row>
    <row r="22" spans="1:18" ht="12.75" customHeight="1" x14ac:dyDescent="0.25">
      <c r="A22" s="22"/>
      <c r="B22" s="86" t="s">
        <v>89</v>
      </c>
      <c r="C22" s="25"/>
      <c r="D22" s="25"/>
      <c r="E22" s="161"/>
      <c r="G22" s="22"/>
    </row>
    <row r="23" spans="1:18" ht="12.75" customHeight="1" x14ac:dyDescent="0.25">
      <c r="A23" s="22"/>
      <c r="B23" s="87" t="s">
        <v>50</v>
      </c>
      <c r="C23" s="22"/>
      <c r="D23" s="22"/>
      <c r="E23" s="22"/>
      <c r="F23" s="22"/>
      <c r="G23" s="22"/>
    </row>
    <row r="24" spans="1:18" ht="18" customHeight="1" x14ac:dyDescent="0.25">
      <c r="A24" s="44"/>
      <c r="B24" s="44"/>
      <c r="C24" s="243" t="s">
        <v>93</v>
      </c>
      <c r="D24" s="234">
        <f>SUM(C20:D20)</f>
        <v>229.18500000000034</v>
      </c>
      <c r="E24" s="258" t="s">
        <v>45</v>
      </c>
      <c r="F24" s="44"/>
      <c r="G24" s="44"/>
      <c r="H24" s="46"/>
      <c r="K24" s="22"/>
    </row>
    <row r="25" spans="1:18" ht="18" customHeight="1" x14ac:dyDescent="0.25">
      <c r="A25" s="39"/>
      <c r="B25" s="39"/>
      <c r="C25" s="69" t="s">
        <v>95</v>
      </c>
      <c r="D25" s="70">
        <f>ROUND(+D24/35,0)</f>
        <v>7</v>
      </c>
      <c r="E25" s="73" t="s">
        <v>4</v>
      </c>
      <c r="F25" s="39"/>
      <c r="G25" s="39"/>
      <c r="H25" s="35"/>
    </row>
    <row r="26" spans="1:18" ht="12.75" customHeight="1" x14ac:dyDescent="0.25">
      <c r="A26" s="39"/>
      <c r="B26" s="487" t="s">
        <v>8</v>
      </c>
      <c r="C26" s="487"/>
      <c r="D26" s="487"/>
      <c r="E26" s="487"/>
      <c r="F26" s="487"/>
      <c r="G26" s="487"/>
      <c r="H26" s="35"/>
    </row>
    <row r="27" spans="1:18" ht="18" customHeight="1" x14ac:dyDescent="0.25">
      <c r="A27" s="44"/>
      <c r="B27" s="44"/>
      <c r="C27" s="243" t="s">
        <v>96</v>
      </c>
      <c r="D27" s="234">
        <f>SUM(C17*C19+D17*D19)</f>
        <v>8790.6419999999998</v>
      </c>
      <c r="E27" s="258" t="s">
        <v>3</v>
      </c>
      <c r="F27" s="44"/>
      <c r="G27" s="44"/>
      <c r="H27" s="46"/>
    </row>
    <row r="28" spans="1:18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7.399999999999999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s="17" customFormat="1" ht="12.75" customHeigh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7" customFormat="1" ht="12.75" customHeight="1" x14ac:dyDescent="0.25">
      <c r="A33" s="23"/>
      <c r="B33" s="23"/>
      <c r="C33" s="23"/>
      <c r="D33" s="23"/>
      <c r="E33" s="23"/>
      <c r="F33" s="23"/>
      <c r="G33" s="23"/>
      <c r="H33" s="224" t="s">
        <v>56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99" t="s">
        <v>55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46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59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s="17" customFormat="1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1:1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18" ht="21" customHeight="1" x14ac:dyDescent="0.25">
      <c r="A48" s="13"/>
      <c r="B48" s="11"/>
      <c r="C48" s="112"/>
      <c r="D48" s="112"/>
      <c r="E48" s="112"/>
      <c r="F48" s="112"/>
      <c r="G48" s="112"/>
      <c r="H48" s="112"/>
    </row>
    <row r="58" ht="12.75" customHeight="1" x14ac:dyDescent="0.25"/>
    <row r="59" ht="12.75" customHeight="1" x14ac:dyDescent="0.25"/>
    <row r="60" ht="12.75" customHeight="1" x14ac:dyDescent="0.25"/>
  </sheetData>
  <sheetProtection algorithmName="SHA-512" hashValue="Dru5+S905i9Oca+mAttNz9gdo6AWu9S1BbIR0QV0ChBDC9H4I19p6OKlcXDZGpkisZF1wJvJhASi4kpMpGCOHQ==" saltValue="w6/IUjF8LPiVjRVT2TF7Ew==" spinCount="100000" sheet="1" selectLockedCells="1"/>
  <mergeCells count="3">
    <mergeCell ref="A1:H1"/>
    <mergeCell ref="G10:H15"/>
    <mergeCell ref="B26:G26"/>
  </mergeCells>
  <phoneticPr fontId="25" type="noConversion"/>
  <dataValidations xWindow="701" yWindow="198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1100-000000000000}"/>
  </dataValidations>
  <hyperlinks>
    <hyperlink ref="H38" r:id="rId1" xr:uid="{00000000-0004-0000-1100-000000000000}"/>
    <hyperlink ref="H37" r:id="rId2" xr:uid="{00000000-0004-0000-1100-000001000000}"/>
    <hyperlink ref="H36" r:id="rId3" xr:uid="{00000000-0004-0000-1100-000002000000}"/>
    <hyperlink ref="H34" r:id="rId4" xr:uid="{00000000-0004-0000-11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08C1C-D512-4614-BDB7-9BD42459F860}">
  <sheetPr>
    <tabColor rgb="FFC00000"/>
  </sheetPr>
  <dimension ref="A1:R60"/>
  <sheetViews>
    <sheetView showGridLines="0" showRowColHeaders="0" zoomScale="91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12" t="s">
        <v>313</v>
      </c>
      <c r="B1" s="512"/>
      <c r="C1" s="512"/>
      <c r="D1" s="512"/>
      <c r="E1" s="512"/>
      <c r="F1" s="512"/>
      <c r="G1" s="512"/>
      <c r="H1" s="512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1"/>
      <c r="C3" s="36"/>
      <c r="D3" s="94" t="s">
        <v>87</v>
      </c>
      <c r="E3" s="96">
        <v>200</v>
      </c>
      <c r="F3" s="2"/>
      <c r="G3" s="2"/>
      <c r="H3" s="3"/>
    </row>
    <row r="4" spans="1:8" ht="18" customHeight="1" x14ac:dyDescent="0.3">
      <c r="A4" s="22"/>
      <c r="B4" s="35"/>
      <c r="C4" s="36"/>
      <c r="D4" s="95" t="s">
        <v>13</v>
      </c>
      <c r="E4" s="97">
        <v>0</v>
      </c>
      <c r="G4" s="2"/>
      <c r="H4" s="3"/>
    </row>
    <row r="5" spans="1:8" ht="18" customHeight="1" x14ac:dyDescent="0.3">
      <c r="A5" s="22"/>
      <c r="B5" s="35"/>
      <c r="C5" s="36"/>
      <c r="D5" s="95" t="s">
        <v>86</v>
      </c>
      <c r="E5" s="344">
        <f>E3+E3*E4/100</f>
        <v>200</v>
      </c>
      <c r="F5" s="2"/>
      <c r="G5" s="2"/>
      <c r="H5" s="3"/>
    </row>
    <row r="6" spans="1:8" ht="12.75" customHeight="1" x14ac:dyDescent="0.25">
      <c r="A6" s="22"/>
      <c r="B6" s="9"/>
      <c r="C6" s="22"/>
      <c r="D6" s="22"/>
      <c r="E6" s="22"/>
      <c r="F6" s="22"/>
      <c r="G6" s="22"/>
    </row>
    <row r="7" spans="1:8" ht="18" customHeight="1" thickBot="1" x14ac:dyDescent="0.35">
      <c r="A7" s="7"/>
      <c r="B7" s="100" t="s">
        <v>0</v>
      </c>
      <c r="C7" s="453" t="s">
        <v>302</v>
      </c>
      <c r="D7" s="146" t="s">
        <v>44</v>
      </c>
      <c r="E7" s="247"/>
      <c r="G7" s="4"/>
      <c r="H7" s="1"/>
    </row>
    <row r="8" spans="1:8" ht="18" customHeight="1" thickTop="1" x14ac:dyDescent="0.3">
      <c r="A8" s="22"/>
      <c r="B8" s="103" t="s">
        <v>11</v>
      </c>
      <c r="C8" s="88">
        <v>0.75</v>
      </c>
      <c r="D8" s="89">
        <v>0.25</v>
      </c>
      <c r="E8" s="74">
        <f>SUM(A8,B8,C8,D8)</f>
        <v>1</v>
      </c>
      <c r="G8" s="4"/>
      <c r="H8" s="1"/>
    </row>
    <row r="9" spans="1:8" ht="18.75" hidden="1" customHeight="1" x14ac:dyDescent="0.25">
      <c r="A9" s="22"/>
      <c r="B9" s="51" t="s">
        <v>67</v>
      </c>
      <c r="C9" s="263">
        <v>1.19</v>
      </c>
      <c r="D9" s="105">
        <v>1.79</v>
      </c>
      <c r="E9" s="248"/>
      <c r="G9" s="22"/>
    </row>
    <row r="10" spans="1:8" ht="12.75" customHeight="1" x14ac:dyDescent="0.25">
      <c r="A10" s="22"/>
      <c r="B10" s="50" t="s">
        <v>1</v>
      </c>
      <c r="C10" s="106">
        <f>+($E$5*C8)/C9</f>
        <v>126.05042016806723</v>
      </c>
      <c r="D10" s="107">
        <f>+($E$5*D8)/D9</f>
        <v>27.932960893854748</v>
      </c>
      <c r="E10" s="264"/>
      <c r="G10" s="490" t="s">
        <v>90</v>
      </c>
      <c r="H10" s="490"/>
    </row>
    <row r="11" spans="1:8" ht="12.75" customHeight="1" x14ac:dyDescent="0.25">
      <c r="A11" s="22"/>
      <c r="B11" s="51" t="s">
        <v>68</v>
      </c>
      <c r="C11" s="104">
        <v>78</v>
      </c>
      <c r="D11" s="105">
        <v>39</v>
      </c>
      <c r="E11" s="265"/>
      <c r="G11" s="490"/>
      <c r="H11" s="490"/>
    </row>
    <row r="12" spans="1:8" ht="12.75" customHeight="1" thickBot="1" x14ac:dyDescent="0.3">
      <c r="A12" s="22"/>
      <c r="B12" s="115" t="s">
        <v>84</v>
      </c>
      <c r="C12" s="138">
        <v>13</v>
      </c>
      <c r="D12" s="138">
        <v>13</v>
      </c>
      <c r="E12" s="265"/>
      <c r="G12" s="490"/>
      <c r="H12" s="490"/>
    </row>
    <row r="13" spans="1:8" ht="18.75" hidden="1" customHeight="1" x14ac:dyDescent="0.25">
      <c r="A13" s="22"/>
      <c r="B13" s="116" t="s">
        <v>64</v>
      </c>
      <c r="C13" s="138">
        <v>13</v>
      </c>
      <c r="D13" s="138">
        <v>13</v>
      </c>
      <c r="E13" s="265"/>
      <c r="G13" s="490"/>
      <c r="H13" s="490"/>
    </row>
    <row r="14" spans="1:8" ht="18.75" hidden="1" customHeight="1" thickBot="1" x14ac:dyDescent="0.3">
      <c r="A14" s="22"/>
      <c r="B14" s="116" t="s">
        <v>65</v>
      </c>
      <c r="C14" s="138">
        <v>13</v>
      </c>
      <c r="D14" s="138">
        <v>13</v>
      </c>
      <c r="E14" s="265"/>
      <c r="G14" s="490"/>
      <c r="H14" s="490"/>
    </row>
    <row r="15" spans="1:8" ht="18" customHeight="1" thickBot="1" x14ac:dyDescent="0.3">
      <c r="A15" s="22"/>
      <c r="B15" s="52" t="s">
        <v>69</v>
      </c>
      <c r="C15" s="119">
        <f>IF(MOD(C10+C13,C11)&lt;=C13,1+ROUNDDOWN(C10/C11,0),ROUNDDOWN(C10/C11,0))</f>
        <v>1</v>
      </c>
      <c r="D15" s="65">
        <f>IF(MOD(D10+D13,D11)&lt;=D13,1+ROUNDDOWN(D10/D11,0),ROUNDDOWN(D10/D11,0))</f>
        <v>1</v>
      </c>
      <c r="E15" s="265"/>
      <c r="G15" s="490"/>
      <c r="H15" s="490"/>
    </row>
    <row r="16" spans="1:8" ht="18" customHeight="1" thickBot="1" x14ac:dyDescent="0.3">
      <c r="A16" s="22"/>
      <c r="B16" s="139" t="s">
        <v>85</v>
      </c>
      <c r="C16" s="119">
        <f>IF(ROUNDUP((C10-(C11*C15))/C12,0)&lt;0,0,ROUNDUP((C10-(C11*C15))/C12,0))</f>
        <v>4</v>
      </c>
      <c r="D16" s="119">
        <f>IF(ROUNDUP((D10-(D11*D15))/D12,0)&lt;0,0,ROUNDUP((D10-(D11*D15))/D12,0))</f>
        <v>0</v>
      </c>
      <c r="E16" s="265"/>
      <c r="G16" s="22"/>
    </row>
    <row r="17" spans="1:18" ht="18" customHeight="1" x14ac:dyDescent="0.25">
      <c r="A17" s="22"/>
      <c r="B17" s="140" t="s">
        <v>66</v>
      </c>
      <c r="C17" s="459">
        <f>(C15*C11)+IF(OR(C16=3,C16=8,C16=13),(ROUNDUP(C16*0.67,0)*C13)+(ROUNDDOWN(C16*0.31,0)*C14),(ROUNDUP(C16*0.6,0)*C13)+(ROUNDDOWN(C16*0.4,0)*C14))</f>
        <v>130</v>
      </c>
      <c r="D17" s="459">
        <f>(D15*D11)+(ROUNDUP(D16/2,0)*D13)+(ROUNDDOWN(D16/2,0)*D14)</f>
        <v>39</v>
      </c>
      <c r="E17" s="265"/>
      <c r="G17" s="555" t="s">
        <v>312</v>
      </c>
      <c r="H17" s="555"/>
    </row>
    <row r="18" spans="1:18" ht="12.75" customHeight="1" x14ac:dyDescent="0.25">
      <c r="A18" s="22"/>
      <c r="B18" s="143" t="s">
        <v>71</v>
      </c>
      <c r="C18" s="78">
        <f>C11*C19</f>
        <v>3285.3599999999997</v>
      </c>
      <c r="D18" s="78">
        <f>D11*D19</f>
        <v>2717.442</v>
      </c>
      <c r="E18" s="25"/>
      <c r="G18" s="555"/>
      <c r="H18" s="555"/>
    </row>
    <row r="19" spans="1:18" ht="12.75" customHeight="1" x14ac:dyDescent="0.25">
      <c r="A19" s="22"/>
      <c r="B19" s="217" t="s">
        <v>70</v>
      </c>
      <c r="C19" s="236">
        <v>42.12</v>
      </c>
      <c r="D19" s="236">
        <v>69.677999999999997</v>
      </c>
      <c r="E19" s="257"/>
      <c r="G19" s="555"/>
      <c r="H19" s="555"/>
    </row>
    <row r="20" spans="1:18" ht="12.75" hidden="1" customHeight="1" x14ac:dyDescent="0.25">
      <c r="A20" s="22"/>
      <c r="B20" s="24" t="s">
        <v>72</v>
      </c>
      <c r="C20" s="25">
        <f>+C17*C9</f>
        <v>154.69999999999999</v>
      </c>
      <c r="D20" s="25">
        <f>+D17*D9</f>
        <v>69.81</v>
      </c>
      <c r="E20" s="161"/>
      <c r="G20" s="22"/>
    </row>
    <row r="21" spans="1:18" ht="12.75" customHeight="1" x14ac:dyDescent="0.25">
      <c r="A21" s="22"/>
      <c r="B21" s="24"/>
      <c r="C21" s="25"/>
      <c r="D21" s="25"/>
      <c r="E21" s="161"/>
      <c r="G21" s="22"/>
    </row>
    <row r="22" spans="1:18" ht="12.75" customHeight="1" x14ac:dyDescent="0.25">
      <c r="A22" s="22"/>
      <c r="B22" s="86" t="s">
        <v>89</v>
      </c>
      <c r="C22" s="25"/>
      <c r="D22" s="25"/>
      <c r="E22" s="161"/>
      <c r="G22" s="22"/>
    </row>
    <row r="23" spans="1:18" ht="12.75" customHeight="1" x14ac:dyDescent="0.25">
      <c r="A23" s="22"/>
      <c r="B23" s="87" t="s">
        <v>50</v>
      </c>
      <c r="C23" s="22"/>
      <c r="D23" s="22"/>
      <c r="E23" s="22"/>
      <c r="F23" s="22"/>
      <c r="G23" s="22"/>
    </row>
    <row r="24" spans="1:18" ht="18" customHeight="1" x14ac:dyDescent="0.25">
      <c r="A24" s="44"/>
      <c r="B24" s="44"/>
      <c r="C24" s="243" t="s">
        <v>93</v>
      </c>
      <c r="D24" s="234">
        <f>SUM(C20:D20)</f>
        <v>224.51</v>
      </c>
      <c r="E24" s="258" t="s">
        <v>45</v>
      </c>
      <c r="F24" s="44"/>
      <c r="G24" s="44"/>
      <c r="H24" s="46"/>
      <c r="K24" s="22"/>
    </row>
    <row r="25" spans="1:18" ht="18" customHeight="1" x14ac:dyDescent="0.25">
      <c r="A25" s="39"/>
      <c r="B25" s="39"/>
      <c r="C25" s="69" t="s">
        <v>95</v>
      </c>
      <c r="D25" s="70">
        <f>ROUND(+D24/35,0)</f>
        <v>6</v>
      </c>
      <c r="E25" s="73" t="s">
        <v>4</v>
      </c>
      <c r="F25" s="39"/>
      <c r="G25" s="39"/>
      <c r="H25" s="35"/>
    </row>
    <row r="26" spans="1:18" ht="12.75" customHeight="1" x14ac:dyDescent="0.25">
      <c r="A26" s="39"/>
      <c r="B26" s="487" t="s">
        <v>8</v>
      </c>
      <c r="C26" s="487"/>
      <c r="D26" s="487"/>
      <c r="E26" s="487"/>
      <c r="F26" s="487"/>
      <c r="G26" s="487"/>
      <c r="H26" s="35"/>
    </row>
    <row r="27" spans="1:18" ht="18" customHeight="1" x14ac:dyDescent="0.25">
      <c r="A27" s="44"/>
      <c r="B27" s="44"/>
      <c r="C27" s="243" t="s">
        <v>96</v>
      </c>
      <c r="D27" s="234">
        <f>SUM(C17*C19+D17*D19)</f>
        <v>8193.0419999999995</v>
      </c>
      <c r="E27" s="258" t="s">
        <v>3</v>
      </c>
      <c r="F27" s="44"/>
      <c r="G27" s="44"/>
      <c r="H27" s="46"/>
    </row>
    <row r="28" spans="1:18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7.399999999999999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s="17" customFormat="1" ht="12.75" customHeigh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7" customFormat="1" ht="12.75" customHeight="1" x14ac:dyDescent="0.25">
      <c r="A33" s="23"/>
      <c r="B33" s="23"/>
      <c r="C33" s="23"/>
      <c r="D33" s="23"/>
      <c r="E33" s="23"/>
      <c r="F33" s="23"/>
      <c r="G33" s="23"/>
      <c r="H33" s="224" t="s">
        <v>56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99" t="s">
        <v>55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46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59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s="17" customFormat="1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1:1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18" ht="21" customHeight="1" x14ac:dyDescent="0.25">
      <c r="A48" s="13"/>
      <c r="B48" s="11"/>
      <c r="C48" s="112"/>
      <c r="D48" s="112"/>
      <c r="E48" s="112"/>
      <c r="F48" s="112"/>
      <c r="G48" s="112"/>
      <c r="H48" s="112"/>
    </row>
    <row r="58" ht="12.75" customHeight="1" x14ac:dyDescent="0.25"/>
    <row r="59" ht="12.75" customHeight="1" x14ac:dyDescent="0.25"/>
    <row r="60" ht="12.75" customHeight="1" x14ac:dyDescent="0.25"/>
  </sheetData>
  <sheetProtection algorithmName="SHA-512" hashValue="/NdgCzoHDst+0080JFNmOxGcLFbamfE/6HT0w6OE+/MLh6cjDLtMHEcQax81i/e8bvUbA77rzy6MCGnldYQ54Q==" saltValue="wiNmz6Alna5xpbZmOKFXgQ==" spinCount="100000" sheet="1" selectLockedCells="1"/>
  <mergeCells count="4">
    <mergeCell ref="A1:H1"/>
    <mergeCell ref="G10:H15"/>
    <mergeCell ref="B26:G26"/>
    <mergeCell ref="G17:H19"/>
  </mergeCells>
  <dataValidations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C17379A0-342D-460A-AB94-69B4191B221C}"/>
  </dataValidations>
  <hyperlinks>
    <hyperlink ref="H38" r:id="rId1" xr:uid="{3FCB394F-25A3-4B91-993B-3AF996AE351F}"/>
    <hyperlink ref="H37" r:id="rId2" xr:uid="{59FB0291-3E1B-478B-BF56-D2DC7FB9799D}"/>
    <hyperlink ref="H36" r:id="rId3" xr:uid="{4698A9AA-AD3F-42B0-9179-3781278A01AA}"/>
    <hyperlink ref="H34" r:id="rId4" xr:uid="{454995E5-0E9D-4B18-8279-DE8EFE4119FF}"/>
  </hyperlinks>
  <pageMargins left="0.75" right="0.75" top="1" bottom="1" header="0.5" footer="0.5"/>
  <pageSetup orientation="portrait" r:id="rId5"/>
  <headerFooter alignWithMargins="0"/>
  <drawing r:id="rId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C00000"/>
  </sheetPr>
  <dimension ref="A1:R48"/>
  <sheetViews>
    <sheetView showGridLines="0" showRowColHeaders="0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12" t="s">
        <v>197</v>
      </c>
      <c r="B1" s="512"/>
      <c r="C1" s="512"/>
      <c r="D1" s="512"/>
      <c r="E1" s="512"/>
      <c r="F1" s="512"/>
      <c r="G1" s="512"/>
      <c r="H1" s="512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1"/>
      <c r="C3" s="36"/>
      <c r="D3" s="94" t="s">
        <v>87</v>
      </c>
      <c r="E3" s="96">
        <v>200</v>
      </c>
      <c r="F3" s="2"/>
      <c r="G3" s="2"/>
      <c r="H3" s="3"/>
    </row>
    <row r="4" spans="1:8" ht="18" customHeight="1" x14ac:dyDescent="0.3">
      <c r="A4" s="22"/>
      <c r="B4" s="35"/>
      <c r="C4" s="36"/>
      <c r="D4" s="95" t="s">
        <v>13</v>
      </c>
      <c r="E4" s="97">
        <v>0</v>
      </c>
      <c r="F4" s="2"/>
      <c r="G4" s="2"/>
      <c r="H4" s="3"/>
    </row>
    <row r="5" spans="1:8" ht="18" customHeight="1" x14ac:dyDescent="0.3">
      <c r="A5" s="22"/>
      <c r="B5" s="35"/>
      <c r="C5" s="36"/>
      <c r="D5" s="95" t="s">
        <v>86</v>
      </c>
      <c r="E5" s="344">
        <f>E3+E3*E4/100</f>
        <v>200</v>
      </c>
      <c r="F5" s="2"/>
      <c r="G5" s="2"/>
      <c r="H5" s="3"/>
    </row>
    <row r="6" spans="1:8" ht="12.75" customHeight="1" x14ac:dyDescent="0.25">
      <c r="A6" s="22"/>
      <c r="B6" s="9"/>
      <c r="C6" s="22"/>
      <c r="D6" s="22"/>
      <c r="E6" s="22"/>
      <c r="F6" s="22"/>
      <c r="G6" s="22"/>
    </row>
    <row r="7" spans="1:8" ht="18" customHeight="1" thickBot="1" x14ac:dyDescent="0.35">
      <c r="A7" s="7"/>
      <c r="B7" s="100" t="s">
        <v>0</v>
      </c>
      <c r="C7" s="453" t="s">
        <v>307</v>
      </c>
      <c r="D7" s="102" t="s">
        <v>47</v>
      </c>
      <c r="E7" s="102" t="s">
        <v>48</v>
      </c>
      <c r="F7" s="203"/>
      <c r="G7" s="4"/>
      <c r="H7" s="1"/>
    </row>
    <row r="8" spans="1:8" ht="18" customHeight="1" thickTop="1" x14ac:dyDescent="0.3">
      <c r="A8" s="22"/>
      <c r="B8" s="103" t="s">
        <v>11</v>
      </c>
      <c r="C8" s="88">
        <v>0.25</v>
      </c>
      <c r="D8" s="89">
        <v>0.5</v>
      </c>
      <c r="E8" s="89">
        <v>0.25</v>
      </c>
      <c r="F8" s="74">
        <f>SUM(A8:E8)</f>
        <v>1</v>
      </c>
      <c r="G8" s="4"/>
      <c r="H8" s="1"/>
    </row>
    <row r="9" spans="1:8" ht="18.75" hidden="1" customHeight="1" x14ac:dyDescent="0.25">
      <c r="A9" s="22"/>
      <c r="B9" s="51" t="s">
        <v>67</v>
      </c>
      <c r="C9" s="104">
        <v>0.48</v>
      </c>
      <c r="D9" s="105">
        <v>0.96</v>
      </c>
      <c r="E9" s="105">
        <v>1.45</v>
      </c>
      <c r="F9" s="203"/>
      <c r="G9" s="22"/>
    </row>
    <row r="10" spans="1:8" ht="12.75" customHeight="1" x14ac:dyDescent="0.25">
      <c r="A10" s="22"/>
      <c r="B10" s="50" t="s">
        <v>1</v>
      </c>
      <c r="C10" s="106">
        <f>+($E$5*C8)/C9</f>
        <v>104.16666666666667</v>
      </c>
      <c r="D10" s="107">
        <f>+($E$5*D8)/D9</f>
        <v>104.16666666666667</v>
      </c>
      <c r="E10" s="107">
        <f>+($E$5*E8)/E9</f>
        <v>34.482758620689658</v>
      </c>
      <c r="F10" s="203"/>
      <c r="G10" s="490" t="s">
        <v>90</v>
      </c>
      <c r="H10" s="490"/>
    </row>
    <row r="11" spans="1:8" ht="12.75" customHeight="1" x14ac:dyDescent="0.25">
      <c r="A11" s="22"/>
      <c r="B11" s="51" t="s">
        <v>68</v>
      </c>
      <c r="C11" s="104">
        <v>180</v>
      </c>
      <c r="D11" s="105">
        <v>80</v>
      </c>
      <c r="E11" s="105">
        <v>46</v>
      </c>
      <c r="F11" s="203"/>
      <c r="G11" s="490"/>
      <c r="H11" s="490"/>
    </row>
    <row r="12" spans="1:8" ht="12.75" customHeight="1" thickBot="1" x14ac:dyDescent="0.3">
      <c r="A12" s="22"/>
      <c r="B12" s="115" t="s">
        <v>84</v>
      </c>
      <c r="C12" s="138">
        <v>12</v>
      </c>
      <c r="D12" s="138">
        <v>12</v>
      </c>
      <c r="E12" s="105">
        <v>11.5</v>
      </c>
      <c r="F12" s="203"/>
      <c r="G12" s="490"/>
      <c r="H12" s="490"/>
    </row>
    <row r="13" spans="1:8" ht="18.75" hidden="1" customHeight="1" x14ac:dyDescent="0.25">
      <c r="A13" s="22"/>
      <c r="B13" s="116" t="s">
        <v>64</v>
      </c>
      <c r="C13" s="138">
        <v>12</v>
      </c>
      <c r="D13" s="138">
        <v>12</v>
      </c>
      <c r="E13" s="105">
        <v>11</v>
      </c>
      <c r="F13" s="203"/>
      <c r="G13" s="490"/>
      <c r="H13" s="490"/>
    </row>
    <row r="14" spans="1:8" ht="18.75" hidden="1" customHeight="1" thickBot="1" x14ac:dyDescent="0.3">
      <c r="A14" s="22"/>
      <c r="B14" s="116" t="s">
        <v>65</v>
      </c>
      <c r="C14" s="138">
        <v>12</v>
      </c>
      <c r="D14" s="138">
        <v>12</v>
      </c>
      <c r="E14" s="105">
        <v>12</v>
      </c>
      <c r="F14" s="203"/>
      <c r="G14" s="490"/>
      <c r="H14" s="490"/>
    </row>
    <row r="15" spans="1:8" ht="18" customHeight="1" thickBot="1" x14ac:dyDescent="0.3">
      <c r="A15" s="22"/>
      <c r="B15" s="52" t="s">
        <v>69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0</v>
      </c>
      <c r="F15" s="203"/>
      <c r="G15" s="490"/>
      <c r="H15" s="490"/>
    </row>
    <row r="16" spans="1:8" ht="18" customHeight="1" thickBot="1" x14ac:dyDescent="0.3">
      <c r="A16" s="22"/>
      <c r="B16" s="139" t="s">
        <v>85</v>
      </c>
      <c r="C16" s="119">
        <f>IF(ROUNDUP((C10-(C11*C15))/C12,0)&lt;0,0,ROUNDUP((C10-(C11*C15))/C12,0))</f>
        <v>9</v>
      </c>
      <c r="D16" s="119">
        <f>IF(ROUNDUP((D10-(D11*D15))/D12,0)&lt;0,0,ROUNDUP((D10-(D11*D15))/D12,0))</f>
        <v>3</v>
      </c>
      <c r="E16" s="119">
        <f>IF(ROUNDUP((E10-(E11*E15))/E12,0)&lt;0,0,ROUNDUP((E10-(E11*E15))/E12,0))</f>
        <v>3</v>
      </c>
      <c r="F16" s="203"/>
      <c r="G16" s="22"/>
    </row>
    <row r="17" spans="1:18" ht="18" customHeight="1" x14ac:dyDescent="0.25">
      <c r="A17" s="22"/>
      <c r="B17" s="140" t="s">
        <v>66</v>
      </c>
      <c r="C17" s="123">
        <f>(C15*C11)+(ROUNDUP(C16/2,0)*C13)+(ROUNDDOWN(C16/2,0)*C14)</f>
        <v>108</v>
      </c>
      <c r="D17" s="123">
        <f>(D15*D11)+(ROUNDUP(D16/2,0)*D13)+(ROUNDDOWN(D16/2,0)*D14)</f>
        <v>116</v>
      </c>
      <c r="E17" s="123">
        <f>(E15*E11)+(ROUNDUP(E16/2,0)*E13)+(ROUNDDOWN(E16/2,0)*E14)</f>
        <v>34</v>
      </c>
      <c r="F17" s="203"/>
      <c r="G17" s="22"/>
    </row>
    <row r="18" spans="1:18" ht="12.75" customHeight="1" x14ac:dyDescent="0.25">
      <c r="A18" s="22"/>
      <c r="B18" s="143" t="s">
        <v>71</v>
      </c>
      <c r="C18" s="78">
        <f>C11*C19</f>
        <v>2734.6409999999996</v>
      </c>
      <c r="D18" s="78">
        <f>D11*D19</f>
        <v>2863.2</v>
      </c>
      <c r="E18" s="78">
        <f>E11*E19</f>
        <v>2505.16</v>
      </c>
      <c r="G18" s="22"/>
    </row>
    <row r="19" spans="1:18" ht="12.75" customHeight="1" x14ac:dyDescent="0.25">
      <c r="A19" s="22"/>
      <c r="B19" s="217" t="s">
        <v>70</v>
      </c>
      <c r="C19" s="236">
        <v>15.192449999999999</v>
      </c>
      <c r="D19" s="236">
        <v>35.79</v>
      </c>
      <c r="E19" s="236">
        <v>54.46</v>
      </c>
      <c r="G19" s="22"/>
    </row>
    <row r="20" spans="1:18" ht="12.75" hidden="1" customHeight="1" x14ac:dyDescent="0.25">
      <c r="A20" s="22"/>
      <c r="B20" s="219" t="s">
        <v>72</v>
      </c>
      <c r="C20" s="78">
        <f>+C17*C9</f>
        <v>51.839999999999996</v>
      </c>
      <c r="D20" s="78">
        <f>+D17*D9</f>
        <v>111.36</v>
      </c>
      <c r="E20" s="78">
        <f>+E17*E9</f>
        <v>49.3</v>
      </c>
      <c r="G20" s="22"/>
    </row>
    <row r="21" spans="1:18" ht="12.75" customHeight="1" x14ac:dyDescent="0.25">
      <c r="A21" s="22"/>
      <c r="B21" s="22"/>
      <c r="C21" s="22"/>
      <c r="D21" s="22"/>
      <c r="E21" s="22"/>
      <c r="F21" s="22"/>
      <c r="G21" s="22"/>
    </row>
    <row r="22" spans="1:18" ht="12.75" customHeight="1" x14ac:dyDescent="0.25">
      <c r="A22" s="22"/>
      <c r="B22" s="86" t="s">
        <v>89</v>
      </c>
      <c r="C22" s="22"/>
      <c r="D22" s="22"/>
      <c r="E22" s="22"/>
      <c r="F22" s="22"/>
      <c r="G22" s="22"/>
    </row>
    <row r="23" spans="1:18" ht="12.75" customHeight="1" x14ac:dyDescent="0.25">
      <c r="A23" s="22"/>
      <c r="B23" s="87" t="s">
        <v>50</v>
      </c>
      <c r="C23" s="22"/>
      <c r="D23" s="22"/>
      <c r="E23" s="22"/>
      <c r="F23" s="22"/>
      <c r="G23" s="22"/>
    </row>
    <row r="24" spans="1:18" ht="18" customHeight="1" x14ac:dyDescent="0.25">
      <c r="A24" s="44"/>
      <c r="B24" s="44"/>
      <c r="C24" s="243" t="s">
        <v>93</v>
      </c>
      <c r="D24" s="234">
        <f>SUM(C20:E20)</f>
        <v>212.5</v>
      </c>
      <c r="E24" s="258" t="s">
        <v>49</v>
      </c>
      <c r="F24" s="44"/>
      <c r="G24" s="44"/>
      <c r="H24" s="46"/>
      <c r="K24" s="22"/>
    </row>
    <row r="25" spans="1:18" ht="18" customHeight="1" x14ac:dyDescent="0.25">
      <c r="A25" s="39"/>
      <c r="B25" s="39"/>
      <c r="C25" s="69" t="s">
        <v>95</v>
      </c>
      <c r="D25" s="70">
        <f>ROUND(+D24/35,0)</f>
        <v>6</v>
      </c>
      <c r="E25" s="245" t="s">
        <v>4</v>
      </c>
      <c r="F25" s="39"/>
      <c r="G25" s="39"/>
      <c r="H25" s="35"/>
    </row>
    <row r="26" spans="1:18" ht="12.75" customHeight="1" x14ac:dyDescent="0.25">
      <c r="A26" s="39"/>
      <c r="B26" s="487" t="s">
        <v>8</v>
      </c>
      <c r="C26" s="487"/>
      <c r="D26" s="487"/>
      <c r="E26" s="487"/>
      <c r="F26" s="487"/>
      <c r="G26" s="487"/>
      <c r="H26" s="35"/>
    </row>
    <row r="27" spans="1:18" ht="18" customHeight="1" x14ac:dyDescent="0.25">
      <c r="A27" s="44"/>
      <c r="B27" s="44"/>
      <c r="C27" s="243" t="s">
        <v>96</v>
      </c>
      <c r="D27" s="234">
        <f>SUM(C17*C19+D17*D19+E17*E19)</f>
        <v>7644.0646000000006</v>
      </c>
      <c r="E27" s="258" t="s">
        <v>3</v>
      </c>
      <c r="F27" s="44"/>
      <c r="G27" s="44"/>
      <c r="H27" s="46"/>
    </row>
    <row r="28" spans="1:18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7.399999999999999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s="17" customForma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7" customFormat="1" x14ac:dyDescent="0.25">
      <c r="A33" s="23"/>
      <c r="B33" s="23"/>
      <c r="C33" s="23"/>
      <c r="D33" s="23"/>
      <c r="E33" s="23"/>
      <c r="F33" s="23"/>
      <c r="G33" s="23"/>
      <c r="H33" s="224" t="s">
        <v>56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s="17" customFormat="1" x14ac:dyDescent="0.25">
      <c r="A34" s="23"/>
      <c r="B34" s="23"/>
      <c r="C34" s="23"/>
      <c r="D34" s="23"/>
      <c r="E34" s="23"/>
      <c r="F34" s="23"/>
      <c r="G34" s="23"/>
      <c r="H34" s="199" t="s">
        <v>55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17" customFormat="1" x14ac:dyDescent="0.25">
      <c r="A35" s="23"/>
      <c r="B35" s="23"/>
      <c r="C35" s="23"/>
      <c r="D35" s="23"/>
      <c r="E35" s="23"/>
      <c r="F35" s="23"/>
      <c r="G35" s="23"/>
      <c r="H35" s="246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s="17" customForma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17" customFormat="1" x14ac:dyDescent="0.25">
      <c r="A37" s="23"/>
      <c r="B37" s="23"/>
      <c r="C37" s="23"/>
      <c r="D37" s="23"/>
      <c r="E37" s="23"/>
      <c r="F37" s="23"/>
      <c r="G37" s="23"/>
      <c r="H37" s="199" t="s">
        <v>59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s="17" customForma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17" customForma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17" customForma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s="17" customForma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7" customForma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s="17" customForma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s="17" customForma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s="17" customFormat="1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1:18" s="17" customFormat="1" ht="21" customHeight="1" x14ac:dyDescent="0.25">
      <c r="A47" s="12"/>
      <c r="B47" s="13"/>
      <c r="C47" s="112"/>
      <c r="D47" s="112"/>
      <c r="E47" s="112"/>
      <c r="F47" s="112"/>
      <c r="G47" s="112"/>
      <c r="H47" s="112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pans="1:18" s="17" customFormat="1" ht="21" customHeight="1" x14ac:dyDescent="0.25">
      <c r="A48" s="13"/>
      <c r="B48" s="11"/>
      <c r="C48" s="112"/>
      <c r="D48" s="112"/>
      <c r="E48" s="112"/>
      <c r="F48" s="112"/>
      <c r="G48" s="112"/>
      <c r="H48" s="112"/>
      <c r="I48" s="23"/>
      <c r="J48" s="23"/>
      <c r="K48" s="23"/>
      <c r="L48" s="23"/>
      <c r="M48" s="23"/>
      <c r="N48" s="23"/>
      <c r="O48" s="23"/>
      <c r="P48" s="23"/>
      <c r="Q48" s="23"/>
      <c r="R48" s="23"/>
    </row>
  </sheetData>
  <sheetProtection algorithmName="SHA-512" hashValue="jPaAA/4ujvWP5tTXYSaxHKFmJ/tyLYbfipM1cd9FYli48q8UBvZFPHlIVnr3HcaHR77a7MckFCpbrc7T71/i/Q==" saltValue="BMAzJYTdCLBsUthy7JDz8A==" spinCount="100000" sheet="1" selectLockedCells="1"/>
  <mergeCells count="3">
    <mergeCell ref="A1:H1"/>
    <mergeCell ref="G10:H15"/>
    <mergeCell ref="B26:G26"/>
  </mergeCells>
  <phoneticPr fontId="25" type="noConversion"/>
  <dataValidations disablePrompts="1" xWindow="627" yWindow="192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1200-000000000000}"/>
  </dataValidations>
  <hyperlinks>
    <hyperlink ref="H38" r:id="rId1" xr:uid="{00000000-0004-0000-1200-000000000000}"/>
    <hyperlink ref="H37" r:id="rId2" xr:uid="{00000000-0004-0000-1200-000001000000}"/>
    <hyperlink ref="H36" r:id="rId3" xr:uid="{00000000-0004-0000-1200-000002000000}"/>
    <hyperlink ref="H34" r:id="rId4" xr:uid="{00000000-0004-0000-12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9">
    <tabColor rgb="FFC00000"/>
  </sheetPr>
  <dimension ref="A1:AP54"/>
  <sheetViews>
    <sheetView showGridLines="0" showRowColHeaders="0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12" t="s">
        <v>198</v>
      </c>
      <c r="B1" s="512"/>
      <c r="C1" s="512"/>
      <c r="D1" s="512"/>
      <c r="E1" s="512"/>
      <c r="F1" s="512"/>
      <c r="G1" s="512"/>
      <c r="H1" s="512"/>
    </row>
    <row r="2" spans="1:8" ht="12.75" customHeight="1" x14ac:dyDescent="0.25"/>
    <row r="3" spans="1:8" ht="18" customHeight="1" x14ac:dyDescent="0.3">
      <c r="B3" s="41"/>
      <c r="C3" s="36"/>
      <c r="D3" s="94" t="s">
        <v>87</v>
      </c>
      <c r="E3" s="96">
        <v>200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86</v>
      </c>
      <c r="E5" s="344">
        <f>E3+E3*E4/100</f>
        <v>200</v>
      </c>
      <c r="F5" s="3"/>
      <c r="G5" s="3"/>
      <c r="H5" s="3"/>
    </row>
    <row r="6" spans="1:8" ht="12.75" customHeight="1" x14ac:dyDescent="0.25">
      <c r="B6" s="12"/>
      <c r="C6" s="200"/>
      <c r="D6" s="200"/>
      <c r="E6" s="200"/>
    </row>
    <row r="7" spans="1:8" ht="18" customHeight="1" thickBot="1" x14ac:dyDescent="0.35">
      <c r="B7" s="201" t="s">
        <v>0</v>
      </c>
      <c r="C7" s="202" t="s">
        <v>33</v>
      </c>
      <c r="D7" s="227" t="s">
        <v>34</v>
      </c>
      <c r="E7" s="228" t="s">
        <v>35</v>
      </c>
      <c r="F7" s="229"/>
      <c r="G7" s="1"/>
      <c r="H7" s="1"/>
    </row>
    <row r="8" spans="1:8" ht="18" customHeight="1" thickTop="1" x14ac:dyDescent="0.3">
      <c r="B8" s="204" t="s">
        <v>11</v>
      </c>
      <c r="C8" s="153">
        <v>0.2</v>
      </c>
      <c r="D8" s="154">
        <v>0.5</v>
      </c>
      <c r="E8" s="153">
        <v>0.3</v>
      </c>
      <c r="F8" s="74">
        <f>SUM(B8,C8,D8,E8)</f>
        <v>1</v>
      </c>
      <c r="G8" s="1"/>
      <c r="H8" s="1"/>
    </row>
    <row r="9" spans="1:8" ht="18.75" hidden="1" customHeight="1" x14ac:dyDescent="0.25">
      <c r="B9" s="205" t="s">
        <v>67</v>
      </c>
      <c r="C9" s="206">
        <v>0.48</v>
      </c>
      <c r="D9" s="230">
        <v>0.96</v>
      </c>
      <c r="E9" s="206">
        <v>1.45</v>
      </c>
      <c r="F9" s="203"/>
    </row>
    <row r="10" spans="1:8" ht="12.75" customHeight="1" x14ac:dyDescent="0.25">
      <c r="B10" s="207" t="s">
        <v>1</v>
      </c>
      <c r="C10" s="208">
        <f>+(E5*C8)/C9</f>
        <v>83.333333333333343</v>
      </c>
      <c r="D10" s="231">
        <f>+(E5*D8)/D9</f>
        <v>104.16666666666667</v>
      </c>
      <c r="E10" s="208">
        <f>+(E5*E8)/E9</f>
        <v>41.379310344827587</v>
      </c>
      <c r="F10" s="203"/>
      <c r="G10" s="490" t="s">
        <v>90</v>
      </c>
      <c r="H10" s="490"/>
    </row>
    <row r="11" spans="1:8" ht="12.75" customHeight="1" x14ac:dyDescent="0.25">
      <c r="B11" s="209" t="s">
        <v>68</v>
      </c>
      <c r="C11" s="206">
        <v>148</v>
      </c>
      <c r="D11" s="230">
        <v>74</v>
      </c>
      <c r="E11" s="206">
        <v>45</v>
      </c>
      <c r="F11" s="232"/>
      <c r="G11" s="490"/>
      <c r="H11" s="490"/>
    </row>
    <row r="12" spans="1:8" ht="12.75" customHeight="1" thickBot="1" x14ac:dyDescent="0.3">
      <c r="B12" s="115" t="s">
        <v>84</v>
      </c>
      <c r="C12" s="138">
        <v>10.6</v>
      </c>
      <c r="D12" s="138">
        <v>10.6</v>
      </c>
      <c r="E12" s="105">
        <v>9</v>
      </c>
      <c r="F12" s="232"/>
      <c r="G12" s="490"/>
      <c r="H12" s="490"/>
    </row>
    <row r="13" spans="1:8" ht="18.75" hidden="1" customHeight="1" x14ac:dyDescent="0.25">
      <c r="B13" s="116" t="s">
        <v>64</v>
      </c>
      <c r="C13" s="138">
        <v>11</v>
      </c>
      <c r="D13" s="138">
        <v>11</v>
      </c>
      <c r="E13" s="105">
        <v>9</v>
      </c>
      <c r="F13" s="232"/>
      <c r="G13" s="490"/>
      <c r="H13" s="490"/>
    </row>
    <row r="14" spans="1:8" ht="18.75" hidden="1" customHeight="1" thickBot="1" x14ac:dyDescent="0.3">
      <c r="B14" s="116" t="s">
        <v>65</v>
      </c>
      <c r="C14" s="138">
        <v>10</v>
      </c>
      <c r="D14" s="138">
        <v>10</v>
      </c>
      <c r="E14" s="105">
        <v>9</v>
      </c>
      <c r="F14" s="232"/>
      <c r="G14" s="490"/>
      <c r="H14" s="490"/>
    </row>
    <row r="15" spans="1:8" ht="18" customHeight="1" thickBot="1" x14ac:dyDescent="0.3">
      <c r="B15" s="52" t="s">
        <v>69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1</v>
      </c>
      <c r="F15" s="232"/>
      <c r="G15" s="490"/>
      <c r="H15" s="490"/>
    </row>
    <row r="16" spans="1:8" ht="18" customHeight="1" thickBot="1" x14ac:dyDescent="0.3">
      <c r="B16" s="139" t="s">
        <v>85</v>
      </c>
      <c r="C16" s="119">
        <f>IF(ROUNDUP((C10-(C11*C15))/C12,0)&lt;0,0,ROUNDUP((C10-(C11*C15))/C12,0))</f>
        <v>8</v>
      </c>
      <c r="D16" s="119">
        <f>IF(ROUNDUP((D10-(D11*D15))/D12,0)&lt;0,0,ROUNDUP((D10-(D11*D15))/D12,0))</f>
        <v>3</v>
      </c>
      <c r="E16" s="119">
        <f>IF(ROUNDUP((E10-(E11*E15))/E12,0)&lt;0,0,ROUNDUP((E10-(E11*E15))/E12,0))</f>
        <v>0</v>
      </c>
      <c r="F16" s="232"/>
      <c r="G16" s="155"/>
      <c r="H16" s="155"/>
    </row>
    <row r="17" spans="1:42" ht="18" customHeight="1" x14ac:dyDescent="0.25">
      <c r="B17" s="140" t="s">
        <v>66</v>
      </c>
      <c r="C17" s="123">
        <f>(C15*C11)+IF(OR(C16=3,C16=8,C16=13),(ROUNDUP(C16*0.67,0)*C13)+(ROUNDDOWN(C16*0.31,0)*C14),(ROUNDUP(C16*0.6,0)*C13)+(ROUNDDOWN(C16*0.4,0)*C14))</f>
        <v>86</v>
      </c>
      <c r="D17" s="123">
        <f>(D15*D11)+(ROUNDUP(D16/2,0)*D13)+(ROUNDDOWN(D16/2,0)*D14)</f>
        <v>106</v>
      </c>
      <c r="E17" s="123">
        <f>(E15*E11)+(ROUNDUP(E16/2,0)*E13)+(ROUNDDOWN(E16/2,0)*E14)</f>
        <v>45</v>
      </c>
      <c r="F17" s="232"/>
      <c r="G17" s="155"/>
      <c r="H17" s="155"/>
    </row>
    <row r="18" spans="1:42" ht="12.75" customHeight="1" x14ac:dyDescent="0.25">
      <c r="B18" s="143" t="s">
        <v>71</v>
      </c>
      <c r="C18" s="78">
        <f>C11*C19</f>
        <v>2675.8399999999997</v>
      </c>
      <c r="D18" s="78">
        <f>D11*D19</f>
        <v>2855.4749999999999</v>
      </c>
      <c r="E18" s="78">
        <f>E11*E19</f>
        <v>2758.4549999999999</v>
      </c>
      <c r="F18" s="203"/>
      <c r="G18" s="156"/>
      <c r="H18" s="156"/>
    </row>
    <row r="19" spans="1:42" ht="12.75" customHeight="1" x14ac:dyDescent="0.25">
      <c r="B19" s="217" t="s">
        <v>70</v>
      </c>
      <c r="C19" s="236">
        <v>18.079999999999998</v>
      </c>
      <c r="D19" s="236">
        <v>38.587499999999999</v>
      </c>
      <c r="E19" s="236">
        <v>61.298999999999999</v>
      </c>
      <c r="F19" s="203"/>
      <c r="G19" s="156"/>
      <c r="H19" s="156"/>
    </row>
    <row r="20" spans="1:42" ht="12.75" hidden="1" customHeight="1" x14ac:dyDescent="0.25">
      <c r="B20" s="219" t="s">
        <v>72</v>
      </c>
      <c r="C20" s="78">
        <f>+C17*C9</f>
        <v>41.28</v>
      </c>
      <c r="D20" s="78">
        <f>+D17*D9</f>
        <v>101.75999999999999</v>
      </c>
      <c r="E20" s="78">
        <f>+E17*E9</f>
        <v>65.25</v>
      </c>
      <c r="F20" s="203"/>
      <c r="G20" s="156"/>
      <c r="H20" s="156"/>
    </row>
    <row r="21" spans="1:42" ht="12.75" customHeight="1" x14ac:dyDescent="0.25">
      <c r="B21" s="262"/>
      <c r="C21" s="215"/>
      <c r="D21" s="215"/>
      <c r="E21" s="215"/>
      <c r="F21" s="203"/>
      <c r="G21" s="155"/>
      <c r="H21" s="155"/>
    </row>
    <row r="22" spans="1:42" ht="12.75" customHeight="1" x14ac:dyDescent="0.25">
      <c r="B22" s="77" t="s">
        <v>199</v>
      </c>
      <c r="C22" s="215"/>
      <c r="D22" s="215"/>
      <c r="E22" s="215"/>
      <c r="F22" s="203"/>
    </row>
    <row r="23" spans="1:42" ht="12.75" customHeight="1" x14ac:dyDescent="0.25">
      <c r="B23" s="261" t="s">
        <v>200</v>
      </c>
      <c r="C23" s="215"/>
      <c r="D23" s="215"/>
      <c r="E23" s="215"/>
      <c r="F23" s="203"/>
    </row>
    <row r="24" spans="1:42" ht="12.75" customHeight="1" x14ac:dyDescent="0.25">
      <c r="B24" s="86" t="s">
        <v>89</v>
      </c>
      <c r="C24" s="215"/>
      <c r="D24" s="215"/>
      <c r="E24" s="215"/>
      <c r="F24" s="203"/>
    </row>
    <row r="25" spans="1:42" ht="12.75" customHeight="1" x14ac:dyDescent="0.25">
      <c r="B25" s="87" t="s">
        <v>50</v>
      </c>
      <c r="C25" s="215"/>
      <c r="D25" s="215"/>
      <c r="E25" s="215"/>
      <c r="F25" s="203"/>
    </row>
    <row r="26" spans="1:42" ht="18" customHeight="1" x14ac:dyDescent="0.25">
      <c r="A26" s="46"/>
      <c r="B26" s="46"/>
      <c r="C26" s="233" t="s">
        <v>93</v>
      </c>
      <c r="D26" s="234">
        <f>SUM(C20:E20)</f>
        <v>208.29</v>
      </c>
      <c r="E26" s="235" t="s">
        <v>17</v>
      </c>
      <c r="F26" s="46"/>
      <c r="G26" s="46"/>
      <c r="H26" s="46"/>
    </row>
    <row r="27" spans="1:42" ht="18" customHeight="1" x14ac:dyDescent="0.25">
      <c r="A27" s="35"/>
      <c r="B27" s="35"/>
      <c r="C27" s="220" t="s">
        <v>95</v>
      </c>
      <c r="D27" s="70">
        <f>ROUND(+D26/35,0)</f>
        <v>6</v>
      </c>
      <c r="E27" s="226" t="s">
        <v>4</v>
      </c>
      <c r="F27" s="35"/>
      <c r="G27" s="35"/>
      <c r="H27" s="35"/>
    </row>
    <row r="28" spans="1:42" ht="12.75" customHeight="1" x14ac:dyDescent="0.25">
      <c r="A28" s="39"/>
      <c r="B28" s="487" t="s">
        <v>8</v>
      </c>
      <c r="C28" s="487"/>
      <c r="D28" s="487"/>
      <c r="E28" s="487"/>
      <c r="F28" s="487"/>
      <c r="G28" s="487"/>
      <c r="H28" s="35"/>
    </row>
    <row r="29" spans="1:42" ht="18" customHeight="1" x14ac:dyDescent="0.25">
      <c r="A29" s="46"/>
      <c r="B29" s="46"/>
      <c r="C29" s="233" t="s">
        <v>96</v>
      </c>
      <c r="D29" s="234">
        <f>SUM(C17*C19+D17*D19+E17*E19)</f>
        <v>8403.61</v>
      </c>
      <c r="E29" s="235" t="s">
        <v>3</v>
      </c>
      <c r="F29" s="46"/>
      <c r="G29" s="46"/>
      <c r="H29" s="46"/>
    </row>
    <row r="30" spans="1:42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spans="1:42" s="17" customForma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spans="1:42" s="17" customForma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spans="1:42" s="17" customFormat="1" ht="17.399999999999999" x14ac:dyDescent="0.25">
      <c r="A33" s="23"/>
      <c r="B33" s="23"/>
      <c r="C33" s="23"/>
      <c r="D33" s="23"/>
      <c r="E33" s="23"/>
      <c r="F33" s="23"/>
      <c r="G33" s="23"/>
      <c r="H33" s="223" t="s">
        <v>9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spans="1:42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1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spans="1:42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24" t="s">
        <v>56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spans="1:42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55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spans="1:42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246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spans="1:42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6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spans="1:42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199" t="s">
        <v>59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spans="1:42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199" t="s">
        <v>10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</row>
    <row r="41" spans="1:42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25" t="s">
        <v>7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</row>
    <row r="42" spans="1:42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</row>
    <row r="43" spans="1:42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</row>
    <row r="44" spans="1:42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spans="1:42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spans="1:42" s="17" customFormat="1" ht="21" customHeight="1" x14ac:dyDescent="0.3">
      <c r="A46" s="23"/>
      <c r="B46" s="15" t="s">
        <v>16</v>
      </c>
      <c r="C46" s="114"/>
      <c r="D46" s="114"/>
      <c r="E46" s="114"/>
      <c r="F46" s="114"/>
      <c r="G46" s="114"/>
      <c r="H46" s="11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spans="1:42" s="17" customFormat="1" ht="21" customHeight="1" x14ac:dyDescent="0.25">
      <c r="A47" s="23"/>
      <c r="B47" s="13"/>
      <c r="C47" s="112"/>
      <c r="D47" s="112"/>
      <c r="E47" s="112"/>
      <c r="F47" s="112"/>
      <c r="G47" s="112"/>
      <c r="H47" s="112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spans="1:42" s="17" customFormat="1" ht="21" customHeight="1" x14ac:dyDescent="0.25">
      <c r="A48" s="23"/>
      <c r="B48" s="11"/>
      <c r="C48" s="112"/>
      <c r="D48" s="112"/>
      <c r="E48" s="112"/>
      <c r="F48" s="112"/>
      <c r="G48" s="112"/>
      <c r="H48" s="112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spans="1:42" s="17" customFormat="1" ht="12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spans="1:42" ht="12.75" customHeight="1" x14ac:dyDescent="0.25"/>
    <row r="51" spans="1:42" ht="12.75" customHeight="1" x14ac:dyDescent="0.25"/>
    <row r="52" spans="1:42" ht="12.75" customHeight="1" x14ac:dyDescent="0.25"/>
    <row r="53" spans="1:42" ht="12.75" customHeight="1" x14ac:dyDescent="0.25"/>
    <row r="54" spans="1:42" ht="12.75" customHeight="1" x14ac:dyDescent="0.25"/>
  </sheetData>
  <sheetProtection algorithmName="SHA-512" hashValue="si2AEP+QungQXc21zfYHW7Keu1DVAvMZ1dhonFwB+PcfO/V2RsPcu09g3FesU0n1cHe2rhhJ6AYC3HKj8/Jknw==" saltValue="2cRieMNfzWgHHO56cE6JjA==" spinCount="100000" sheet="1" selectLockedCells="1"/>
  <mergeCells count="3">
    <mergeCell ref="A1:H1"/>
    <mergeCell ref="G10:H15"/>
    <mergeCell ref="B28:G28"/>
  </mergeCells>
  <phoneticPr fontId="0" type="noConversion"/>
  <dataValidations disablePrompts="1" xWindow="636" yWindow="144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1300-000000000000}"/>
  </dataValidations>
  <hyperlinks>
    <hyperlink ref="H40" r:id="rId1" xr:uid="{00000000-0004-0000-1300-000000000000}"/>
    <hyperlink ref="H39" r:id="rId2" xr:uid="{00000000-0004-0000-1300-000001000000}"/>
    <hyperlink ref="H38" r:id="rId3" xr:uid="{00000000-0004-0000-1300-000002000000}"/>
    <hyperlink ref="H36" r:id="rId4" xr:uid="{00000000-0004-0000-1300-000003000000}"/>
  </hyperlinks>
  <pageMargins left="0.75" right="0.75" top="1" bottom="1" header="0.5" footer="0.5"/>
  <pageSetup fitToWidth="0" fitToHeight="0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8"/>
  </sheetPr>
  <dimension ref="A1:PI102"/>
  <sheetViews>
    <sheetView showGridLines="0" showRowColHeaders="0" zoomScaleNormal="100" zoomScaleSheetLayoutView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12" s="93" customFormat="1" ht="24" customHeight="1" x14ac:dyDescent="0.3">
      <c r="A1" s="485" t="s">
        <v>163</v>
      </c>
      <c r="B1" s="485"/>
      <c r="C1" s="485"/>
      <c r="D1" s="485"/>
      <c r="E1" s="485"/>
      <c r="F1" s="485"/>
      <c r="G1" s="485"/>
      <c r="H1" s="485"/>
    </row>
    <row r="2" spans="1:12" ht="12.75" customHeight="1" x14ac:dyDescent="0.25">
      <c r="A2" s="22"/>
      <c r="B2" s="22"/>
      <c r="C2" s="22"/>
      <c r="D2" s="22"/>
      <c r="E2" s="22"/>
      <c r="F2" s="22"/>
      <c r="G2" s="22"/>
    </row>
    <row r="3" spans="1:12" s="3" customFormat="1" ht="18" customHeight="1" x14ac:dyDescent="0.3">
      <c r="A3" s="2"/>
      <c r="B3" s="35"/>
      <c r="C3" s="36"/>
      <c r="D3" s="94" t="s">
        <v>87</v>
      </c>
      <c r="E3" s="96">
        <v>200</v>
      </c>
      <c r="F3" s="2"/>
      <c r="G3" s="2"/>
    </row>
    <row r="4" spans="1:12" s="3" customFormat="1" ht="18" customHeight="1" x14ac:dyDescent="0.3">
      <c r="A4" s="2"/>
      <c r="B4" s="35"/>
      <c r="C4" s="36"/>
      <c r="D4" s="95" t="s">
        <v>13</v>
      </c>
      <c r="E4" s="97">
        <v>0</v>
      </c>
      <c r="F4" s="2"/>
      <c r="G4" s="2"/>
    </row>
    <row r="5" spans="1:12" s="3" customFormat="1" ht="18" customHeight="1" x14ac:dyDescent="0.3">
      <c r="A5" s="2"/>
      <c r="B5" s="35"/>
      <c r="C5" s="36"/>
      <c r="D5" s="95" t="s">
        <v>86</v>
      </c>
      <c r="E5" s="344">
        <f>E3+E3*E4/100</f>
        <v>200</v>
      </c>
      <c r="F5" s="2"/>
      <c r="G5" s="2"/>
    </row>
    <row r="6" spans="1:12" ht="12.75" customHeight="1" x14ac:dyDescent="0.25">
      <c r="A6" s="22"/>
      <c r="B6" s="12"/>
      <c r="C6" s="22"/>
      <c r="D6" s="22"/>
      <c r="E6" s="22"/>
      <c r="F6" s="22"/>
      <c r="G6" s="22"/>
    </row>
    <row r="7" spans="1:12" s="1" customFormat="1" ht="18" customHeight="1" thickBot="1" x14ac:dyDescent="0.35">
      <c r="A7" s="4"/>
      <c r="B7" s="47" t="s">
        <v>0</v>
      </c>
      <c r="C7" s="54" t="s">
        <v>27</v>
      </c>
      <c r="D7" s="55" t="s">
        <v>28</v>
      </c>
      <c r="E7" s="169" t="s">
        <v>29</v>
      </c>
      <c r="F7" s="4"/>
      <c r="G7" s="4"/>
    </row>
    <row r="8" spans="1:12" s="1" customFormat="1" ht="18" customHeight="1" thickTop="1" x14ac:dyDescent="0.3">
      <c r="A8" s="4"/>
      <c r="B8" s="48" t="s">
        <v>11</v>
      </c>
      <c r="C8" s="56">
        <v>0.2</v>
      </c>
      <c r="D8" s="57">
        <v>0.5</v>
      </c>
      <c r="E8" s="57">
        <v>0.3</v>
      </c>
      <c r="F8" s="74">
        <f>SUM(B8,C8,D8,E8)</f>
        <v>1</v>
      </c>
      <c r="G8" s="4"/>
    </row>
    <row r="9" spans="1:12" ht="18" hidden="1" customHeight="1" x14ac:dyDescent="0.25">
      <c r="A9" s="22"/>
      <c r="B9" s="49" t="s">
        <v>67</v>
      </c>
      <c r="C9" s="27">
        <v>0.67</v>
      </c>
      <c r="D9" s="28">
        <v>1.33</v>
      </c>
      <c r="E9" s="28">
        <v>2</v>
      </c>
      <c r="F9" s="22"/>
      <c r="G9" s="22"/>
    </row>
    <row r="10" spans="1:12" s="6" customFormat="1" ht="12.75" customHeight="1" x14ac:dyDescent="0.25">
      <c r="A10" s="5"/>
      <c r="B10" s="50" t="s">
        <v>1</v>
      </c>
      <c r="C10" s="58">
        <f>+(E5*C8)/C9</f>
        <v>59.701492537313428</v>
      </c>
      <c r="D10" s="59">
        <f>+(E5*D8)/D9</f>
        <v>75.187969924812023</v>
      </c>
      <c r="E10" s="59">
        <f>+(E5*E8)/E9</f>
        <v>30</v>
      </c>
      <c r="F10" s="75"/>
      <c r="G10" s="486" t="s">
        <v>91</v>
      </c>
      <c r="H10" s="486"/>
    </row>
    <row r="11" spans="1:12" ht="12.75" customHeight="1" x14ac:dyDescent="0.25">
      <c r="A11" s="22"/>
      <c r="B11" s="51" t="s">
        <v>68</v>
      </c>
      <c r="C11" s="60">
        <v>95</v>
      </c>
      <c r="D11" s="61">
        <v>40</v>
      </c>
      <c r="E11" s="61">
        <v>26</v>
      </c>
      <c r="F11" s="75"/>
      <c r="G11" s="486"/>
      <c r="H11" s="486"/>
    </row>
    <row r="12" spans="1:12" ht="12.75" customHeight="1" thickBot="1" x14ac:dyDescent="0.3">
      <c r="A12" s="22"/>
      <c r="B12" s="51" t="s">
        <v>84</v>
      </c>
      <c r="C12" s="60">
        <v>10.6</v>
      </c>
      <c r="D12" s="61">
        <v>10</v>
      </c>
      <c r="E12" s="61">
        <v>8.6999999999999993</v>
      </c>
      <c r="F12" s="75"/>
      <c r="G12" s="486"/>
      <c r="H12" s="486"/>
    </row>
    <row r="13" spans="1:12" ht="18.75" hidden="1" customHeight="1" x14ac:dyDescent="0.25">
      <c r="A13" s="22"/>
      <c r="B13" s="50" t="s">
        <v>64</v>
      </c>
      <c r="C13" s="62">
        <v>11</v>
      </c>
      <c r="D13" s="63">
        <v>10</v>
      </c>
      <c r="E13" s="63">
        <v>9</v>
      </c>
      <c r="F13" s="85"/>
      <c r="G13" s="486"/>
      <c r="H13" s="486"/>
    </row>
    <row r="14" spans="1:12" ht="18.75" hidden="1" customHeight="1" thickBot="1" x14ac:dyDescent="0.3">
      <c r="A14" s="22"/>
      <c r="B14" s="50" t="s">
        <v>65</v>
      </c>
      <c r="C14" s="62">
        <v>10</v>
      </c>
      <c r="D14" s="63">
        <v>10</v>
      </c>
      <c r="E14" s="63">
        <v>8</v>
      </c>
      <c r="F14" s="85"/>
      <c r="G14" s="486"/>
      <c r="H14" s="486"/>
    </row>
    <row r="15" spans="1:12" ht="18" customHeight="1" thickBot="1" x14ac:dyDescent="0.3">
      <c r="A15" s="22"/>
      <c r="B15" s="52" t="s">
        <v>69</v>
      </c>
      <c r="C15" s="64">
        <f>IF(MOD(C10+C13,C11)&lt;=C13,1+ROUNDDOWN(C10/C11,0),ROUNDDOWN(C10/C11,0))</f>
        <v>0</v>
      </c>
      <c r="D15" s="65">
        <f>IF(MOD(D10+D13,D11)&lt;=D13,1+ROUNDDOWN(D10/D11,0),ROUNDDOWN(D10/D11,0))</f>
        <v>2</v>
      </c>
      <c r="E15" s="65">
        <f>IF(MOD(E10+E13,E11)&lt;=E13,1+ROUNDDOWN(E10/E11,0),ROUNDDOWN(E10/E11,0))</f>
        <v>1</v>
      </c>
      <c r="F15" s="85"/>
      <c r="G15" s="486"/>
      <c r="H15" s="486"/>
    </row>
    <row r="16" spans="1:12" ht="18" customHeight="1" thickBot="1" x14ac:dyDescent="0.3">
      <c r="A16" s="22"/>
      <c r="B16" s="52" t="s">
        <v>85</v>
      </c>
      <c r="C16" s="64">
        <f>IF(ROUNDUP((C10-(C11*C15))/C12,0)&lt;0,0,ROUNDUP((C10-(C11*C15))/C12,0))</f>
        <v>6</v>
      </c>
      <c r="D16" s="65">
        <f>IF(ROUNDUP((D10-(D11*D15))/D12,0)&lt;0,0,ROUNDUP((D10-(D11*D15))/D12,0))</f>
        <v>0</v>
      </c>
      <c r="E16" s="65">
        <f>IF(ROUNDUP((E10-(E11*E15))/E12,0)&lt;0,0,ROUNDUP((E10-(E11*E15))/E12,0))</f>
        <v>1</v>
      </c>
      <c r="F16" s="76"/>
      <c r="G16" s="77"/>
      <c r="I16" s="22"/>
      <c r="J16" s="77"/>
      <c r="K16" s="264"/>
      <c r="L16" s="264"/>
    </row>
    <row r="17" spans="1:425" ht="18" customHeight="1" x14ac:dyDescent="0.25">
      <c r="A17" s="22"/>
      <c r="B17" s="53" t="s">
        <v>66</v>
      </c>
      <c r="C17" s="66">
        <f>(C15*C11)+(ROUNDUP(C16/2,0)*C13)+(ROUNDDOWN(C16/2,0)*C14)</f>
        <v>63</v>
      </c>
      <c r="D17" s="67">
        <f>(D15*D11)+(ROUNDUP(D16/2,0)*D13)+(ROUNDDOWN(D16/2,0)*D14)</f>
        <v>80</v>
      </c>
      <c r="E17" s="67">
        <f>(E15*E11)+(ROUNDUP(E16/2,0)*E13)+(ROUNDDOWN(E16/2,0)*E14)</f>
        <v>35</v>
      </c>
      <c r="F17" s="76"/>
      <c r="G17" s="77"/>
      <c r="I17" s="22"/>
      <c r="J17" s="77"/>
      <c r="K17" s="264"/>
      <c r="L17" s="264"/>
    </row>
    <row r="18" spans="1:425" ht="12.75" customHeight="1" x14ac:dyDescent="0.25">
      <c r="A18" s="22"/>
      <c r="B18" s="143" t="s">
        <v>71</v>
      </c>
      <c r="C18" s="78">
        <f>C11*C19</f>
        <v>2413</v>
      </c>
      <c r="D18" s="78">
        <f>D11*D19</f>
        <v>2292</v>
      </c>
      <c r="E18" s="78">
        <f>E11*E19</f>
        <v>2340</v>
      </c>
      <c r="F18" s="22"/>
      <c r="G18" s="22"/>
    </row>
    <row r="19" spans="1:425" ht="12.75" customHeight="1" x14ac:dyDescent="0.25">
      <c r="A19" s="22"/>
      <c r="B19" s="143" t="s">
        <v>70</v>
      </c>
      <c r="C19" s="142">
        <v>25.4</v>
      </c>
      <c r="D19" s="142">
        <v>57.3</v>
      </c>
      <c r="E19" s="142">
        <v>90</v>
      </c>
      <c r="F19" s="22"/>
      <c r="G19" s="22"/>
    </row>
    <row r="20" spans="1:425" ht="12.75" hidden="1" customHeight="1" x14ac:dyDescent="0.25">
      <c r="A20" s="22"/>
      <c r="B20" s="24" t="s">
        <v>72</v>
      </c>
      <c r="C20" s="25">
        <f>+C17*C9</f>
        <v>42.21</v>
      </c>
      <c r="D20" s="25">
        <f>+D17*D9</f>
        <v>106.4</v>
      </c>
      <c r="E20" s="25">
        <f>+E17*E9</f>
        <v>70</v>
      </c>
      <c r="F20" s="22"/>
      <c r="G20" s="22"/>
    </row>
    <row r="21" spans="1:425" ht="12.75" customHeight="1" x14ac:dyDescent="0.25">
      <c r="A21" s="22"/>
      <c r="B21" s="24"/>
      <c r="C21" s="25"/>
      <c r="D21" s="25"/>
      <c r="E21" s="25"/>
      <c r="F21" s="22"/>
      <c r="G21" s="22"/>
    </row>
    <row r="22" spans="1:425" ht="12.75" customHeight="1" x14ac:dyDescent="0.25">
      <c r="A22" s="22"/>
      <c r="B22" s="84" t="s">
        <v>88</v>
      </c>
      <c r="C22" s="84"/>
      <c r="D22" s="84"/>
      <c r="E22" s="84"/>
      <c r="F22" s="84"/>
      <c r="G22" s="84"/>
    </row>
    <row r="23" spans="1:425" s="81" customFormat="1" ht="12.75" customHeight="1" x14ac:dyDescent="0.25">
      <c r="A23" s="79"/>
      <c r="B23" s="84" t="s">
        <v>50</v>
      </c>
      <c r="C23" s="84"/>
      <c r="D23" s="84"/>
      <c r="E23" s="80"/>
      <c r="F23" s="79"/>
      <c r="G23" s="79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</row>
    <row r="24" spans="1:425" ht="18" customHeight="1" x14ac:dyDescent="0.25">
      <c r="A24" s="34"/>
      <c r="B24" s="34"/>
      <c r="C24" s="68" t="s">
        <v>93</v>
      </c>
      <c r="D24" s="164">
        <f>SUM(C20:E20)</f>
        <v>218.61</v>
      </c>
      <c r="E24" s="72" t="s">
        <v>18</v>
      </c>
      <c r="F24" s="34"/>
      <c r="G24" s="34"/>
      <c r="H24" s="34"/>
    </row>
    <row r="25" spans="1:425" ht="18" customHeight="1" x14ac:dyDescent="0.25">
      <c r="A25" s="39"/>
      <c r="B25" s="39"/>
      <c r="C25" s="69" t="s">
        <v>95</v>
      </c>
      <c r="D25" s="70">
        <f>ROUND(+D24/35,0)</f>
        <v>6</v>
      </c>
      <c r="E25" s="73" t="s">
        <v>4</v>
      </c>
      <c r="F25" s="39"/>
      <c r="G25" s="39"/>
      <c r="H25" s="35"/>
    </row>
    <row r="26" spans="1:425" ht="12.75" customHeight="1" x14ac:dyDescent="0.25">
      <c r="A26" s="39"/>
      <c r="B26" s="487" t="s">
        <v>8</v>
      </c>
      <c r="C26" s="487"/>
      <c r="D26" s="487"/>
      <c r="E26" s="487"/>
      <c r="F26" s="487"/>
      <c r="G26" s="487"/>
      <c r="H26" s="35"/>
    </row>
    <row r="27" spans="1:425" ht="18" customHeight="1" x14ac:dyDescent="0.25">
      <c r="A27" s="34"/>
      <c r="B27" s="34"/>
      <c r="C27" s="68" t="s">
        <v>97</v>
      </c>
      <c r="D27" s="164">
        <f>SUM(C17*C19+D17*D19+E17*E19)</f>
        <v>9334.2000000000007</v>
      </c>
      <c r="E27" s="72" t="s">
        <v>3</v>
      </c>
      <c r="F27" s="34"/>
      <c r="G27" s="34"/>
      <c r="H27" s="34"/>
    </row>
    <row r="28" spans="1:425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  <c r="KS28" s="23"/>
      <c r="KT28" s="23"/>
      <c r="KU28" s="23"/>
      <c r="KV28" s="23"/>
      <c r="KW28" s="23"/>
      <c r="KX28" s="23"/>
      <c r="KY28" s="23"/>
      <c r="KZ28" s="23"/>
      <c r="LA28" s="23"/>
      <c r="LB28" s="23"/>
      <c r="LC28" s="23"/>
      <c r="LD28" s="23"/>
      <c r="LE28" s="23"/>
      <c r="LF28" s="23"/>
      <c r="LG28" s="23"/>
      <c r="LH28" s="23"/>
      <c r="LI28" s="23"/>
      <c r="LJ28" s="23"/>
      <c r="LK28" s="23"/>
      <c r="LL28" s="23"/>
      <c r="LM28" s="23"/>
      <c r="LN28" s="23"/>
      <c r="LO28" s="23"/>
      <c r="LP28" s="23"/>
      <c r="LQ28" s="23"/>
      <c r="LR28" s="23"/>
      <c r="LS28" s="23"/>
      <c r="LT28" s="23"/>
      <c r="LU28" s="23"/>
      <c r="LV28" s="23"/>
      <c r="LW28" s="23"/>
      <c r="LX28" s="23"/>
      <c r="LY28" s="23"/>
      <c r="LZ28" s="23"/>
      <c r="MA28" s="23"/>
      <c r="MB28" s="23"/>
      <c r="MC28" s="23"/>
      <c r="MD28" s="23"/>
      <c r="ME28" s="23"/>
      <c r="MF28" s="23"/>
      <c r="MG28" s="23"/>
      <c r="MH28" s="23"/>
      <c r="MI28" s="23"/>
      <c r="MJ28" s="23"/>
      <c r="MK28" s="23"/>
      <c r="ML28" s="23"/>
      <c r="MM28" s="23"/>
      <c r="MN28" s="23"/>
      <c r="MO28" s="23"/>
      <c r="MP28" s="23"/>
      <c r="MQ28" s="23"/>
      <c r="MR28" s="23"/>
      <c r="MS28" s="23"/>
      <c r="MT28" s="23"/>
      <c r="MU28" s="23"/>
      <c r="MV28" s="23"/>
      <c r="MW28" s="23"/>
      <c r="MX28" s="23"/>
      <c r="MY28" s="23"/>
      <c r="MZ28" s="23"/>
      <c r="NA28" s="23"/>
      <c r="NB28" s="23"/>
      <c r="NC28" s="23"/>
      <c r="ND28" s="23"/>
      <c r="NE28" s="23"/>
      <c r="NF28" s="23"/>
      <c r="NG28" s="23"/>
      <c r="NH28" s="23"/>
      <c r="NI28" s="23"/>
      <c r="NJ28" s="23"/>
      <c r="NK28" s="23"/>
      <c r="NL28" s="23"/>
      <c r="NM28" s="23"/>
      <c r="NN28" s="23"/>
      <c r="NO28" s="23"/>
      <c r="NP28" s="23"/>
      <c r="NQ28" s="23"/>
      <c r="NR28" s="23"/>
      <c r="NS28" s="23"/>
      <c r="NT28" s="23"/>
      <c r="NU28" s="23"/>
      <c r="NV28" s="23"/>
      <c r="NW28" s="23"/>
      <c r="NX28" s="23"/>
      <c r="NY28" s="23"/>
      <c r="NZ28" s="23"/>
      <c r="OA28" s="23"/>
      <c r="OB28" s="23"/>
      <c r="OC28" s="23"/>
      <c r="OD28" s="23"/>
      <c r="OE28" s="23"/>
      <c r="OF28" s="23"/>
      <c r="OG28" s="23"/>
      <c r="OH28" s="23"/>
      <c r="OI28" s="23"/>
      <c r="OJ28" s="23"/>
      <c r="OK28" s="23"/>
      <c r="OL28" s="23"/>
      <c r="OM28" s="23"/>
      <c r="ON28" s="23"/>
      <c r="OO28" s="23"/>
      <c r="OP28" s="23"/>
      <c r="OQ28" s="23"/>
      <c r="OR28" s="23"/>
      <c r="OS28" s="23"/>
      <c r="OT28" s="23"/>
      <c r="OU28" s="23"/>
      <c r="OV28" s="23"/>
      <c r="OW28" s="23"/>
      <c r="OX28" s="23"/>
      <c r="OY28" s="23"/>
      <c r="OZ28" s="23"/>
      <c r="PA28" s="23"/>
      <c r="PB28" s="23"/>
      <c r="PC28" s="23"/>
      <c r="PD28" s="23"/>
      <c r="PE28" s="23"/>
      <c r="PF28" s="23"/>
      <c r="PG28" s="23"/>
      <c r="PH28" s="23"/>
      <c r="PI28" s="23"/>
    </row>
    <row r="29" spans="1:425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  <c r="NC29" s="23"/>
      <c r="ND29" s="23"/>
      <c r="NE29" s="23"/>
      <c r="NF29" s="23"/>
      <c r="NG29" s="23"/>
      <c r="NH29" s="23"/>
      <c r="NI29" s="23"/>
      <c r="NJ29" s="23"/>
      <c r="NK29" s="23"/>
      <c r="NL29" s="23"/>
      <c r="NM29" s="23"/>
      <c r="NN29" s="23"/>
      <c r="NO29" s="23"/>
      <c r="NP29" s="23"/>
      <c r="NQ29" s="23"/>
      <c r="NR29" s="23"/>
      <c r="NS29" s="23"/>
      <c r="NT29" s="23"/>
      <c r="NU29" s="23"/>
      <c r="NV29" s="23"/>
      <c r="NW29" s="23"/>
      <c r="NX29" s="23"/>
      <c r="NY29" s="23"/>
      <c r="NZ29" s="23"/>
      <c r="OA29" s="23"/>
      <c r="OB29" s="23"/>
      <c r="OC29" s="23"/>
      <c r="OD29" s="23"/>
      <c r="OE29" s="23"/>
      <c r="OF29" s="23"/>
      <c r="OG29" s="23"/>
      <c r="OH29" s="23"/>
      <c r="OI29" s="23"/>
      <c r="OJ29" s="23"/>
      <c r="OK29" s="23"/>
      <c r="OL29" s="23"/>
      <c r="OM29" s="23"/>
      <c r="ON29" s="23"/>
      <c r="OO29" s="23"/>
      <c r="OP29" s="23"/>
      <c r="OQ29" s="23"/>
      <c r="OR29" s="23"/>
      <c r="OS29" s="23"/>
      <c r="OT29" s="23"/>
      <c r="OU29" s="23"/>
      <c r="OV29" s="23"/>
      <c r="OW29" s="23"/>
      <c r="OX29" s="23"/>
      <c r="OY29" s="23"/>
      <c r="OZ29" s="23"/>
      <c r="PA29" s="23"/>
      <c r="PB29" s="23"/>
      <c r="PC29" s="23"/>
      <c r="PD29" s="23"/>
      <c r="PE29" s="23"/>
      <c r="PF29" s="23"/>
      <c r="PG29" s="23"/>
      <c r="PH29" s="23"/>
      <c r="PI29" s="23"/>
    </row>
    <row r="30" spans="1:425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  <c r="NA30" s="23"/>
      <c r="NB30" s="23"/>
      <c r="NC30" s="23"/>
      <c r="ND30" s="23"/>
      <c r="NE30" s="23"/>
      <c r="NF30" s="23"/>
      <c r="NG30" s="23"/>
      <c r="NH30" s="23"/>
      <c r="NI30" s="23"/>
      <c r="NJ30" s="23"/>
      <c r="NK30" s="23"/>
      <c r="NL30" s="23"/>
      <c r="NM30" s="23"/>
      <c r="NN30" s="23"/>
      <c r="NO30" s="23"/>
      <c r="NP30" s="23"/>
      <c r="NQ30" s="23"/>
      <c r="NR30" s="23"/>
      <c r="NS30" s="23"/>
      <c r="NT30" s="23"/>
      <c r="NU30" s="23"/>
      <c r="NV30" s="23"/>
      <c r="NW30" s="23"/>
      <c r="NX30" s="23"/>
      <c r="NY30" s="23"/>
      <c r="NZ30" s="23"/>
      <c r="OA30" s="23"/>
      <c r="OB30" s="23"/>
      <c r="OC30" s="23"/>
      <c r="OD30" s="23"/>
      <c r="OE30" s="23"/>
      <c r="OF30" s="23"/>
      <c r="OG30" s="23"/>
      <c r="OH30" s="23"/>
      <c r="OI30" s="23"/>
      <c r="OJ30" s="23"/>
      <c r="OK30" s="23"/>
      <c r="OL30" s="23"/>
      <c r="OM30" s="23"/>
      <c r="ON30" s="23"/>
      <c r="OO30" s="23"/>
      <c r="OP30" s="23"/>
      <c r="OQ30" s="23"/>
      <c r="OR30" s="23"/>
      <c r="OS30" s="23"/>
      <c r="OT30" s="23"/>
      <c r="OU30" s="23"/>
      <c r="OV30" s="23"/>
      <c r="OW30" s="23"/>
      <c r="OX30" s="23"/>
      <c r="OY30" s="23"/>
      <c r="OZ30" s="23"/>
      <c r="PA30" s="23"/>
      <c r="PB30" s="23"/>
      <c r="PC30" s="23"/>
      <c r="PD30" s="23"/>
      <c r="PE30" s="23"/>
      <c r="PF30" s="23"/>
      <c r="PG30" s="23"/>
      <c r="PH30" s="23"/>
      <c r="PI30" s="23"/>
    </row>
    <row r="31" spans="1:425" s="17" customFormat="1" ht="18" customHeight="1" x14ac:dyDescent="0.25">
      <c r="A31" s="23"/>
      <c r="B31" s="23"/>
      <c r="C31" s="23"/>
      <c r="D31" s="23"/>
      <c r="E31" s="23"/>
      <c r="F31" s="23"/>
      <c r="G31" s="23"/>
      <c r="H31" s="109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</row>
    <row r="32" spans="1:425" s="17" customFormat="1" ht="12.7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  <c r="NA32" s="23"/>
      <c r="NB32" s="23"/>
      <c r="NC32" s="23"/>
      <c r="ND32" s="23"/>
      <c r="NE32" s="23"/>
      <c r="NF32" s="23"/>
      <c r="NG32" s="23"/>
      <c r="NH32" s="23"/>
      <c r="NI32" s="23"/>
      <c r="NJ32" s="23"/>
      <c r="NK32" s="23"/>
      <c r="NL32" s="23"/>
      <c r="NM32" s="23"/>
      <c r="NN32" s="23"/>
      <c r="NO32" s="23"/>
      <c r="NP32" s="23"/>
      <c r="NQ32" s="23"/>
      <c r="NR32" s="23"/>
      <c r="NS32" s="23"/>
      <c r="NT32" s="23"/>
      <c r="NU32" s="23"/>
      <c r="NV32" s="23"/>
      <c r="NW32" s="23"/>
      <c r="NX32" s="23"/>
      <c r="NY32" s="23"/>
      <c r="NZ32" s="23"/>
      <c r="OA32" s="23"/>
      <c r="OB32" s="23"/>
      <c r="OC32" s="23"/>
      <c r="OD32" s="23"/>
      <c r="OE32" s="23"/>
      <c r="OF32" s="23"/>
      <c r="OG32" s="23"/>
      <c r="OH32" s="23"/>
      <c r="OI32" s="23"/>
      <c r="OJ32" s="23"/>
      <c r="OK32" s="23"/>
      <c r="OL32" s="23"/>
      <c r="OM32" s="23"/>
      <c r="ON32" s="23"/>
      <c r="OO32" s="23"/>
      <c r="OP32" s="23"/>
      <c r="OQ32" s="23"/>
      <c r="OR32" s="23"/>
      <c r="OS32" s="23"/>
      <c r="OT32" s="23"/>
      <c r="OU32" s="23"/>
      <c r="OV32" s="23"/>
      <c r="OW32" s="23"/>
      <c r="OX32" s="23"/>
      <c r="OY32" s="23"/>
      <c r="OZ32" s="23"/>
      <c r="PA32" s="23"/>
      <c r="PB32" s="23"/>
      <c r="PC32" s="23"/>
      <c r="PD32" s="23"/>
      <c r="PE32" s="23"/>
      <c r="PF32" s="23"/>
      <c r="PG32" s="23"/>
      <c r="PH32" s="23"/>
      <c r="PI32" s="23"/>
    </row>
    <row r="33" spans="1:425" s="17" customFormat="1" ht="12.75" customHeight="1" x14ac:dyDescent="0.25">
      <c r="A33" s="23"/>
      <c r="B33" s="23"/>
      <c r="C33" s="23"/>
      <c r="D33" s="23"/>
      <c r="E33" s="23"/>
      <c r="F33" s="23"/>
      <c r="G33" s="23"/>
      <c r="H33" s="110" t="s">
        <v>56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  <c r="NA33" s="23"/>
      <c r="NB33" s="23"/>
      <c r="NC33" s="23"/>
      <c r="ND33" s="23"/>
      <c r="NE33" s="23"/>
      <c r="NF33" s="23"/>
      <c r="NG33" s="23"/>
      <c r="NH33" s="23"/>
      <c r="NI33" s="23"/>
      <c r="NJ33" s="23"/>
      <c r="NK33" s="23"/>
      <c r="NL33" s="23"/>
      <c r="NM33" s="23"/>
      <c r="NN33" s="23"/>
      <c r="NO33" s="23"/>
      <c r="NP33" s="23"/>
      <c r="NQ33" s="23"/>
      <c r="NR33" s="23"/>
      <c r="NS33" s="23"/>
      <c r="NT33" s="23"/>
      <c r="NU33" s="23"/>
      <c r="NV33" s="23"/>
      <c r="NW33" s="23"/>
      <c r="NX33" s="23"/>
      <c r="NY33" s="23"/>
      <c r="NZ33" s="23"/>
      <c r="OA33" s="23"/>
      <c r="OB33" s="23"/>
      <c r="OC33" s="23"/>
      <c r="OD33" s="23"/>
      <c r="OE33" s="23"/>
      <c r="OF33" s="23"/>
      <c r="OG33" s="23"/>
      <c r="OH33" s="23"/>
      <c r="OI33" s="23"/>
      <c r="OJ33" s="23"/>
      <c r="OK33" s="23"/>
      <c r="OL33" s="23"/>
      <c r="OM33" s="23"/>
      <c r="ON33" s="23"/>
      <c r="OO33" s="23"/>
      <c r="OP33" s="23"/>
      <c r="OQ33" s="23"/>
      <c r="OR33" s="23"/>
      <c r="OS33" s="23"/>
      <c r="OT33" s="23"/>
      <c r="OU33" s="23"/>
      <c r="OV33" s="23"/>
      <c r="OW33" s="23"/>
      <c r="OX33" s="23"/>
      <c r="OY33" s="23"/>
      <c r="OZ33" s="23"/>
      <c r="PA33" s="23"/>
      <c r="PB33" s="23"/>
      <c r="PC33" s="23"/>
      <c r="PD33" s="23"/>
      <c r="PE33" s="23"/>
      <c r="PF33" s="23"/>
      <c r="PG33" s="23"/>
      <c r="PH33" s="23"/>
      <c r="PI33" s="23"/>
    </row>
    <row r="34" spans="1:425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271" t="s">
        <v>55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3"/>
      <c r="NH34" s="23"/>
      <c r="NI34" s="23"/>
      <c r="NJ34" s="23"/>
      <c r="NK34" s="23"/>
      <c r="NL34" s="23"/>
      <c r="NM34" s="23"/>
      <c r="NN34" s="23"/>
      <c r="NO34" s="23"/>
      <c r="NP34" s="23"/>
      <c r="NQ34" s="23"/>
      <c r="NR34" s="23"/>
      <c r="NS34" s="23"/>
      <c r="NT34" s="23"/>
      <c r="NU34" s="23"/>
      <c r="NV34" s="23"/>
      <c r="NW34" s="23"/>
      <c r="NX34" s="23"/>
      <c r="NY34" s="23"/>
      <c r="NZ34" s="23"/>
      <c r="OA34" s="23"/>
      <c r="OB34" s="23"/>
      <c r="OC34" s="23"/>
      <c r="OD34" s="23"/>
      <c r="OE34" s="23"/>
      <c r="OF34" s="23"/>
      <c r="OG34" s="23"/>
      <c r="OH34" s="23"/>
      <c r="OI34" s="23"/>
      <c r="OJ34" s="23"/>
      <c r="OK34" s="23"/>
      <c r="OL34" s="23"/>
      <c r="OM34" s="23"/>
      <c r="ON34" s="23"/>
      <c r="OO34" s="23"/>
      <c r="OP34" s="23"/>
      <c r="OQ34" s="23"/>
      <c r="OR34" s="23"/>
      <c r="OS34" s="23"/>
      <c r="OT34" s="23"/>
      <c r="OU34" s="23"/>
      <c r="OV34" s="23"/>
      <c r="OW34" s="23"/>
      <c r="OX34" s="23"/>
      <c r="OY34" s="23"/>
      <c r="OZ34" s="23"/>
      <c r="PA34" s="23"/>
      <c r="PB34" s="23"/>
      <c r="PC34" s="23"/>
      <c r="PD34" s="23"/>
      <c r="PE34" s="23"/>
      <c r="PF34" s="23"/>
      <c r="PG34" s="23"/>
      <c r="PH34" s="23"/>
      <c r="PI34" s="23"/>
    </row>
    <row r="35" spans="1:425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71" t="s">
        <v>58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3"/>
      <c r="NC35" s="23"/>
      <c r="ND35" s="23"/>
      <c r="NE35" s="23"/>
      <c r="NF35" s="23"/>
      <c r="NG35" s="23"/>
      <c r="NH35" s="23"/>
      <c r="NI35" s="23"/>
      <c r="NJ35" s="23"/>
      <c r="NK35" s="23"/>
      <c r="NL35" s="23"/>
      <c r="NM35" s="23"/>
      <c r="NN35" s="23"/>
      <c r="NO35" s="23"/>
      <c r="NP35" s="23"/>
      <c r="NQ35" s="23"/>
      <c r="NR35" s="23"/>
      <c r="NS35" s="23"/>
      <c r="NT35" s="23"/>
      <c r="NU35" s="23"/>
      <c r="NV35" s="23"/>
      <c r="NW35" s="23"/>
      <c r="NX35" s="23"/>
      <c r="NY35" s="23"/>
      <c r="NZ35" s="23"/>
      <c r="OA35" s="23"/>
      <c r="OB35" s="23"/>
      <c r="OC35" s="23"/>
      <c r="OD35" s="23"/>
      <c r="OE35" s="23"/>
      <c r="OF35" s="23"/>
      <c r="OG35" s="23"/>
      <c r="OH35" s="23"/>
      <c r="OI35" s="23"/>
      <c r="OJ35" s="23"/>
      <c r="OK35" s="23"/>
      <c r="OL35" s="23"/>
      <c r="OM35" s="23"/>
      <c r="ON35" s="23"/>
      <c r="OO35" s="23"/>
      <c r="OP35" s="23"/>
      <c r="OQ35" s="23"/>
      <c r="OR35" s="23"/>
      <c r="OS35" s="23"/>
      <c r="OT35" s="23"/>
      <c r="OU35" s="23"/>
      <c r="OV35" s="23"/>
      <c r="OW35" s="23"/>
      <c r="OX35" s="23"/>
      <c r="OY35" s="23"/>
      <c r="OZ35" s="23"/>
      <c r="PA35" s="23"/>
      <c r="PB35" s="23"/>
      <c r="PC35" s="23"/>
      <c r="PD35" s="23"/>
      <c r="PE35" s="23"/>
      <c r="PF35" s="23"/>
      <c r="PG35" s="23"/>
      <c r="PH35" s="23"/>
      <c r="PI35" s="23"/>
    </row>
    <row r="36" spans="1:425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271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  <c r="KS36" s="23"/>
      <c r="KT36" s="23"/>
      <c r="KU36" s="23"/>
      <c r="KV36" s="23"/>
      <c r="KW36" s="23"/>
      <c r="KX36" s="23"/>
      <c r="KY36" s="23"/>
      <c r="KZ36" s="23"/>
      <c r="LA36" s="23"/>
      <c r="LB36" s="23"/>
      <c r="LC36" s="23"/>
      <c r="LD36" s="23"/>
      <c r="LE36" s="23"/>
      <c r="LF36" s="23"/>
      <c r="LG36" s="23"/>
      <c r="LH36" s="23"/>
      <c r="LI36" s="23"/>
      <c r="LJ36" s="23"/>
      <c r="LK36" s="23"/>
      <c r="LL36" s="23"/>
      <c r="LM36" s="23"/>
      <c r="LN36" s="23"/>
      <c r="LO36" s="23"/>
      <c r="LP36" s="23"/>
      <c r="LQ36" s="23"/>
      <c r="LR36" s="23"/>
      <c r="LS36" s="23"/>
      <c r="LT36" s="23"/>
      <c r="LU36" s="23"/>
      <c r="LV36" s="23"/>
      <c r="LW36" s="23"/>
      <c r="LX36" s="23"/>
      <c r="LY36" s="23"/>
      <c r="LZ36" s="23"/>
      <c r="MA36" s="23"/>
      <c r="MB36" s="23"/>
      <c r="MC36" s="23"/>
      <c r="MD36" s="23"/>
      <c r="ME36" s="23"/>
      <c r="MF36" s="23"/>
      <c r="MG36" s="23"/>
      <c r="MH36" s="23"/>
      <c r="MI36" s="23"/>
      <c r="MJ36" s="23"/>
      <c r="MK36" s="23"/>
      <c r="ML36" s="23"/>
      <c r="MM36" s="23"/>
      <c r="MN36" s="23"/>
      <c r="MO36" s="23"/>
      <c r="MP36" s="23"/>
      <c r="MQ36" s="23"/>
      <c r="MR36" s="23"/>
      <c r="MS36" s="23"/>
      <c r="MT36" s="23"/>
      <c r="MU36" s="23"/>
      <c r="MV36" s="23"/>
      <c r="MW36" s="23"/>
      <c r="MX36" s="23"/>
      <c r="MY36" s="23"/>
      <c r="MZ36" s="23"/>
      <c r="NA36" s="23"/>
      <c r="NB36" s="23"/>
      <c r="NC36" s="23"/>
      <c r="ND36" s="23"/>
      <c r="NE36" s="23"/>
      <c r="NF36" s="23"/>
      <c r="NG36" s="23"/>
      <c r="NH36" s="23"/>
      <c r="NI36" s="23"/>
      <c r="NJ36" s="23"/>
      <c r="NK36" s="23"/>
      <c r="NL36" s="23"/>
      <c r="NM36" s="23"/>
      <c r="NN36" s="23"/>
      <c r="NO36" s="23"/>
      <c r="NP36" s="23"/>
      <c r="NQ36" s="23"/>
      <c r="NR36" s="23"/>
      <c r="NS36" s="23"/>
      <c r="NT36" s="23"/>
      <c r="NU36" s="23"/>
      <c r="NV36" s="23"/>
      <c r="NW36" s="23"/>
      <c r="NX36" s="23"/>
      <c r="NY36" s="23"/>
      <c r="NZ36" s="23"/>
      <c r="OA36" s="23"/>
      <c r="OB36" s="23"/>
      <c r="OC36" s="23"/>
      <c r="OD36" s="23"/>
      <c r="OE36" s="23"/>
      <c r="OF36" s="23"/>
      <c r="OG36" s="23"/>
      <c r="OH36" s="23"/>
      <c r="OI36" s="23"/>
      <c r="OJ36" s="23"/>
      <c r="OK36" s="23"/>
      <c r="OL36" s="23"/>
      <c r="OM36" s="23"/>
      <c r="ON36" s="23"/>
      <c r="OO36" s="23"/>
      <c r="OP36" s="23"/>
      <c r="OQ36" s="23"/>
      <c r="OR36" s="23"/>
      <c r="OS36" s="23"/>
      <c r="OT36" s="23"/>
      <c r="OU36" s="23"/>
      <c r="OV36" s="23"/>
      <c r="OW36" s="23"/>
      <c r="OX36" s="23"/>
      <c r="OY36" s="23"/>
      <c r="OZ36" s="23"/>
      <c r="PA36" s="23"/>
      <c r="PB36" s="23"/>
      <c r="PC36" s="23"/>
      <c r="PD36" s="23"/>
      <c r="PE36" s="23"/>
      <c r="PF36" s="23"/>
      <c r="PG36" s="23"/>
      <c r="PH36" s="23"/>
      <c r="PI36" s="23"/>
    </row>
    <row r="37" spans="1:425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271" t="s">
        <v>59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  <c r="KH37" s="23"/>
      <c r="KI37" s="23"/>
      <c r="KJ37" s="23"/>
      <c r="KK37" s="23"/>
      <c r="KL37" s="23"/>
      <c r="KM37" s="23"/>
      <c r="KN37" s="23"/>
      <c r="KO37" s="23"/>
      <c r="KP37" s="23"/>
      <c r="KQ37" s="23"/>
      <c r="KR37" s="23"/>
      <c r="KS37" s="23"/>
      <c r="KT37" s="23"/>
      <c r="KU37" s="23"/>
      <c r="KV37" s="23"/>
      <c r="KW37" s="23"/>
      <c r="KX37" s="23"/>
      <c r="KY37" s="23"/>
      <c r="KZ37" s="23"/>
      <c r="LA37" s="23"/>
      <c r="LB37" s="23"/>
      <c r="LC37" s="23"/>
      <c r="LD37" s="23"/>
      <c r="LE37" s="23"/>
      <c r="LF37" s="23"/>
      <c r="LG37" s="23"/>
      <c r="LH37" s="23"/>
      <c r="LI37" s="23"/>
      <c r="LJ37" s="23"/>
      <c r="LK37" s="23"/>
      <c r="LL37" s="23"/>
      <c r="LM37" s="23"/>
      <c r="LN37" s="23"/>
      <c r="LO37" s="23"/>
      <c r="LP37" s="23"/>
      <c r="LQ37" s="23"/>
      <c r="LR37" s="23"/>
      <c r="LS37" s="23"/>
      <c r="LT37" s="23"/>
      <c r="LU37" s="23"/>
      <c r="LV37" s="23"/>
      <c r="LW37" s="23"/>
      <c r="LX37" s="23"/>
      <c r="LY37" s="23"/>
      <c r="LZ37" s="23"/>
      <c r="MA37" s="23"/>
      <c r="MB37" s="23"/>
      <c r="MC37" s="23"/>
      <c r="MD37" s="23"/>
      <c r="ME37" s="23"/>
      <c r="MF37" s="23"/>
      <c r="MG37" s="23"/>
      <c r="MH37" s="23"/>
      <c r="MI37" s="23"/>
      <c r="MJ37" s="23"/>
      <c r="MK37" s="23"/>
      <c r="ML37" s="23"/>
      <c r="MM37" s="23"/>
      <c r="MN37" s="23"/>
      <c r="MO37" s="23"/>
      <c r="MP37" s="23"/>
      <c r="MQ37" s="23"/>
      <c r="MR37" s="23"/>
      <c r="MS37" s="23"/>
      <c r="MT37" s="23"/>
      <c r="MU37" s="23"/>
      <c r="MV37" s="23"/>
      <c r="MW37" s="23"/>
      <c r="MX37" s="23"/>
      <c r="MY37" s="23"/>
      <c r="MZ37" s="23"/>
      <c r="NA37" s="23"/>
      <c r="NB37" s="23"/>
      <c r="NC37" s="23"/>
      <c r="ND37" s="23"/>
      <c r="NE37" s="23"/>
      <c r="NF37" s="23"/>
      <c r="NG37" s="23"/>
      <c r="NH37" s="23"/>
      <c r="NI37" s="23"/>
      <c r="NJ37" s="23"/>
      <c r="NK37" s="23"/>
      <c r="NL37" s="23"/>
      <c r="NM37" s="23"/>
      <c r="NN37" s="23"/>
      <c r="NO37" s="23"/>
      <c r="NP37" s="23"/>
      <c r="NQ37" s="23"/>
      <c r="NR37" s="23"/>
      <c r="NS37" s="23"/>
      <c r="NT37" s="23"/>
      <c r="NU37" s="23"/>
      <c r="NV37" s="23"/>
      <c r="NW37" s="23"/>
      <c r="NX37" s="23"/>
      <c r="NY37" s="23"/>
      <c r="NZ37" s="23"/>
      <c r="OA37" s="23"/>
      <c r="OB37" s="23"/>
      <c r="OC37" s="23"/>
      <c r="OD37" s="23"/>
      <c r="OE37" s="23"/>
      <c r="OF37" s="23"/>
      <c r="OG37" s="23"/>
      <c r="OH37" s="23"/>
      <c r="OI37" s="23"/>
      <c r="OJ37" s="23"/>
      <c r="OK37" s="23"/>
      <c r="OL37" s="23"/>
      <c r="OM37" s="23"/>
      <c r="ON37" s="23"/>
      <c r="OO37" s="23"/>
      <c r="OP37" s="23"/>
      <c r="OQ37" s="23"/>
      <c r="OR37" s="23"/>
      <c r="OS37" s="23"/>
      <c r="OT37" s="23"/>
      <c r="OU37" s="23"/>
      <c r="OV37" s="23"/>
      <c r="OW37" s="23"/>
      <c r="OX37" s="23"/>
      <c r="OY37" s="23"/>
      <c r="OZ37" s="23"/>
      <c r="PA37" s="23"/>
      <c r="PB37" s="23"/>
      <c r="PC37" s="23"/>
      <c r="PD37" s="23"/>
      <c r="PE37" s="23"/>
      <c r="PF37" s="23"/>
      <c r="PG37" s="23"/>
      <c r="PH37" s="23"/>
      <c r="PI37" s="23"/>
    </row>
    <row r="38" spans="1:425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271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3"/>
      <c r="NI38" s="23"/>
      <c r="NJ38" s="23"/>
      <c r="NK38" s="23"/>
      <c r="NL38" s="23"/>
      <c r="NM38" s="23"/>
      <c r="NN38" s="23"/>
      <c r="NO38" s="23"/>
      <c r="NP38" s="23"/>
      <c r="NQ38" s="23"/>
      <c r="NR38" s="23"/>
      <c r="NS38" s="23"/>
      <c r="NT38" s="23"/>
      <c r="NU38" s="23"/>
      <c r="NV38" s="23"/>
      <c r="NW38" s="23"/>
      <c r="NX38" s="23"/>
      <c r="NY38" s="23"/>
      <c r="NZ38" s="23"/>
      <c r="OA38" s="23"/>
      <c r="OB38" s="23"/>
      <c r="OC38" s="23"/>
      <c r="OD38" s="23"/>
      <c r="OE38" s="23"/>
      <c r="OF38" s="23"/>
      <c r="OG38" s="23"/>
      <c r="OH38" s="23"/>
      <c r="OI38" s="23"/>
      <c r="OJ38" s="23"/>
      <c r="OK38" s="23"/>
      <c r="OL38" s="23"/>
      <c r="OM38" s="23"/>
      <c r="ON38" s="23"/>
      <c r="OO38" s="23"/>
      <c r="OP38" s="23"/>
      <c r="OQ38" s="23"/>
      <c r="OR38" s="23"/>
      <c r="OS38" s="23"/>
      <c r="OT38" s="23"/>
      <c r="OU38" s="23"/>
      <c r="OV38" s="23"/>
      <c r="OW38" s="23"/>
      <c r="OX38" s="23"/>
      <c r="OY38" s="23"/>
      <c r="OZ38" s="23"/>
      <c r="PA38" s="23"/>
      <c r="PB38" s="23"/>
      <c r="PC38" s="23"/>
      <c r="PD38" s="23"/>
      <c r="PE38" s="23"/>
      <c r="PF38" s="23"/>
      <c r="PG38" s="23"/>
      <c r="PH38" s="23"/>
      <c r="PI38" s="23"/>
    </row>
    <row r="39" spans="1:425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111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  <c r="IX39" s="23"/>
      <c r="IY39" s="23"/>
      <c r="IZ39" s="23"/>
      <c r="JA39" s="23"/>
      <c r="JB39" s="23"/>
      <c r="JC39" s="23"/>
      <c r="JD39" s="23"/>
      <c r="JE39" s="23"/>
      <c r="JF39" s="23"/>
      <c r="JG39" s="23"/>
      <c r="JH39" s="23"/>
      <c r="JI39" s="23"/>
      <c r="JJ39" s="23"/>
      <c r="JK39" s="23"/>
      <c r="JL39" s="23"/>
      <c r="JM39" s="23"/>
      <c r="JN39" s="23"/>
      <c r="JO39" s="23"/>
      <c r="JP39" s="23"/>
      <c r="JQ39" s="23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3"/>
      <c r="NI39" s="23"/>
      <c r="NJ39" s="23"/>
      <c r="NK39" s="23"/>
      <c r="NL39" s="23"/>
      <c r="NM39" s="23"/>
      <c r="NN39" s="23"/>
      <c r="NO39" s="23"/>
      <c r="NP39" s="23"/>
      <c r="NQ39" s="23"/>
      <c r="NR39" s="23"/>
      <c r="NS39" s="23"/>
      <c r="NT39" s="23"/>
      <c r="NU39" s="23"/>
      <c r="NV39" s="23"/>
      <c r="NW39" s="23"/>
      <c r="NX39" s="23"/>
      <c r="NY39" s="23"/>
      <c r="NZ39" s="23"/>
      <c r="OA39" s="23"/>
      <c r="OB39" s="23"/>
      <c r="OC39" s="23"/>
      <c r="OD39" s="23"/>
      <c r="OE39" s="23"/>
      <c r="OF39" s="23"/>
      <c r="OG39" s="23"/>
      <c r="OH39" s="23"/>
      <c r="OI39" s="23"/>
      <c r="OJ39" s="23"/>
      <c r="OK39" s="23"/>
      <c r="OL39" s="23"/>
      <c r="OM39" s="23"/>
      <c r="ON39" s="23"/>
      <c r="OO39" s="23"/>
      <c r="OP39" s="23"/>
      <c r="OQ39" s="23"/>
      <c r="OR39" s="23"/>
      <c r="OS39" s="23"/>
      <c r="OT39" s="23"/>
      <c r="OU39" s="23"/>
      <c r="OV39" s="23"/>
      <c r="OW39" s="23"/>
      <c r="OX39" s="23"/>
      <c r="OY39" s="23"/>
      <c r="OZ39" s="23"/>
      <c r="PA39" s="23"/>
      <c r="PB39" s="23"/>
      <c r="PC39" s="23"/>
      <c r="PD39" s="23"/>
      <c r="PE39" s="23"/>
      <c r="PF39" s="23"/>
      <c r="PG39" s="23"/>
      <c r="PH39" s="23"/>
      <c r="PI39" s="23"/>
    </row>
    <row r="40" spans="1:425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  <c r="IX40" s="23"/>
      <c r="IY40" s="23"/>
      <c r="IZ40" s="23"/>
      <c r="JA40" s="23"/>
      <c r="JB40" s="23"/>
      <c r="JC40" s="23"/>
      <c r="JD40" s="23"/>
      <c r="JE40" s="23"/>
      <c r="JF40" s="23"/>
      <c r="JG40" s="23"/>
      <c r="JH40" s="23"/>
      <c r="JI40" s="23"/>
      <c r="JJ40" s="23"/>
      <c r="JK40" s="23"/>
      <c r="JL40" s="23"/>
      <c r="JM40" s="23"/>
      <c r="JN40" s="23"/>
      <c r="JO40" s="23"/>
      <c r="JP40" s="23"/>
      <c r="JQ40" s="23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3"/>
      <c r="NI40" s="23"/>
      <c r="NJ40" s="23"/>
      <c r="NK40" s="23"/>
      <c r="NL40" s="23"/>
      <c r="NM40" s="23"/>
      <c r="NN40" s="23"/>
      <c r="NO40" s="23"/>
      <c r="NP40" s="23"/>
      <c r="NQ40" s="23"/>
      <c r="NR40" s="23"/>
      <c r="NS40" s="23"/>
      <c r="NT40" s="23"/>
      <c r="NU40" s="23"/>
      <c r="NV40" s="23"/>
      <c r="NW40" s="23"/>
      <c r="NX40" s="23"/>
      <c r="NY40" s="23"/>
      <c r="NZ40" s="23"/>
      <c r="OA40" s="23"/>
      <c r="OB40" s="23"/>
      <c r="OC40" s="23"/>
      <c r="OD40" s="23"/>
      <c r="OE40" s="23"/>
      <c r="OF40" s="23"/>
      <c r="OG40" s="23"/>
      <c r="OH40" s="23"/>
      <c r="OI40" s="23"/>
      <c r="OJ40" s="23"/>
      <c r="OK40" s="23"/>
      <c r="OL40" s="23"/>
      <c r="OM40" s="23"/>
      <c r="ON40" s="23"/>
      <c r="OO40" s="23"/>
      <c r="OP40" s="23"/>
      <c r="OQ40" s="23"/>
      <c r="OR40" s="23"/>
      <c r="OS40" s="23"/>
      <c r="OT40" s="23"/>
      <c r="OU40" s="23"/>
      <c r="OV40" s="23"/>
      <c r="OW40" s="23"/>
      <c r="OX40" s="23"/>
      <c r="OY40" s="23"/>
      <c r="OZ40" s="23"/>
      <c r="PA40" s="23"/>
      <c r="PB40" s="23"/>
      <c r="PC40" s="23"/>
      <c r="PD40" s="23"/>
      <c r="PE40" s="23"/>
      <c r="PF40" s="23"/>
      <c r="PG40" s="23"/>
      <c r="PH40" s="23"/>
      <c r="PI40" s="23"/>
    </row>
    <row r="41" spans="1:425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  <c r="IX41" s="23"/>
      <c r="IY41" s="23"/>
      <c r="IZ41" s="23"/>
      <c r="JA41" s="23"/>
      <c r="JB41" s="23"/>
      <c r="JC41" s="23"/>
      <c r="JD41" s="23"/>
      <c r="JE41" s="23"/>
      <c r="JF41" s="23"/>
      <c r="JG41" s="23"/>
      <c r="JH41" s="23"/>
      <c r="JI41" s="23"/>
      <c r="JJ41" s="23"/>
      <c r="JK41" s="23"/>
      <c r="JL41" s="23"/>
      <c r="JM41" s="23"/>
      <c r="JN41" s="23"/>
      <c r="JO41" s="23"/>
      <c r="JP41" s="23"/>
      <c r="JQ41" s="23"/>
      <c r="JR41" s="23"/>
      <c r="JS41" s="23"/>
      <c r="JT41" s="23"/>
      <c r="JU41" s="23"/>
      <c r="JV41" s="23"/>
      <c r="JW41" s="23"/>
      <c r="JX41" s="23"/>
      <c r="JY41" s="23"/>
      <c r="JZ41" s="23"/>
      <c r="KA41" s="23"/>
      <c r="KB41" s="23"/>
      <c r="KC41" s="23"/>
      <c r="KD41" s="23"/>
      <c r="KE41" s="23"/>
      <c r="KF41" s="23"/>
      <c r="KG41" s="23"/>
      <c r="KH41" s="23"/>
      <c r="KI41" s="23"/>
      <c r="KJ41" s="23"/>
      <c r="KK41" s="23"/>
      <c r="KL41" s="23"/>
      <c r="KM41" s="23"/>
      <c r="KN41" s="23"/>
      <c r="KO41" s="23"/>
      <c r="KP41" s="23"/>
      <c r="KQ41" s="23"/>
      <c r="KR41" s="23"/>
      <c r="KS41" s="23"/>
      <c r="KT41" s="23"/>
      <c r="KU41" s="23"/>
      <c r="KV41" s="23"/>
      <c r="KW41" s="23"/>
      <c r="KX41" s="23"/>
      <c r="KY41" s="23"/>
      <c r="KZ41" s="23"/>
      <c r="LA41" s="23"/>
      <c r="LB41" s="23"/>
      <c r="LC41" s="23"/>
      <c r="LD41" s="23"/>
      <c r="LE41" s="23"/>
      <c r="LF41" s="23"/>
      <c r="LG41" s="23"/>
      <c r="LH41" s="23"/>
      <c r="LI41" s="23"/>
      <c r="LJ41" s="23"/>
      <c r="LK41" s="23"/>
      <c r="LL41" s="23"/>
      <c r="LM41" s="23"/>
      <c r="LN41" s="23"/>
      <c r="LO41" s="23"/>
      <c r="LP41" s="23"/>
      <c r="LQ41" s="23"/>
      <c r="LR41" s="23"/>
      <c r="LS41" s="23"/>
      <c r="LT41" s="23"/>
      <c r="LU41" s="23"/>
      <c r="LV41" s="23"/>
      <c r="LW41" s="23"/>
      <c r="LX41" s="23"/>
      <c r="LY41" s="23"/>
      <c r="LZ41" s="23"/>
      <c r="MA41" s="23"/>
      <c r="MB41" s="23"/>
      <c r="MC41" s="23"/>
      <c r="MD41" s="23"/>
      <c r="ME41" s="23"/>
      <c r="MF41" s="23"/>
      <c r="MG41" s="23"/>
      <c r="MH41" s="23"/>
      <c r="MI41" s="23"/>
      <c r="MJ41" s="23"/>
      <c r="MK41" s="23"/>
      <c r="ML41" s="23"/>
      <c r="MM41" s="23"/>
      <c r="MN41" s="23"/>
      <c r="MO41" s="23"/>
      <c r="MP41" s="23"/>
      <c r="MQ41" s="23"/>
      <c r="MR41" s="23"/>
      <c r="MS41" s="23"/>
      <c r="MT41" s="23"/>
      <c r="MU41" s="23"/>
      <c r="MV41" s="23"/>
      <c r="MW41" s="23"/>
      <c r="MX41" s="23"/>
      <c r="MY41" s="23"/>
      <c r="MZ41" s="23"/>
      <c r="NA41" s="23"/>
      <c r="NB41" s="23"/>
      <c r="NC41" s="23"/>
      <c r="ND41" s="23"/>
      <c r="NE41" s="23"/>
      <c r="NF41" s="23"/>
      <c r="NG41" s="23"/>
      <c r="NH41" s="23"/>
      <c r="NI41" s="23"/>
      <c r="NJ41" s="23"/>
      <c r="NK41" s="23"/>
      <c r="NL41" s="23"/>
      <c r="NM41" s="23"/>
      <c r="NN41" s="23"/>
      <c r="NO41" s="23"/>
      <c r="NP41" s="23"/>
      <c r="NQ41" s="23"/>
      <c r="NR41" s="23"/>
      <c r="NS41" s="23"/>
      <c r="NT41" s="23"/>
      <c r="NU41" s="23"/>
      <c r="NV41" s="23"/>
      <c r="NW41" s="23"/>
      <c r="NX41" s="23"/>
      <c r="NY41" s="23"/>
      <c r="NZ41" s="23"/>
      <c r="OA41" s="23"/>
      <c r="OB41" s="23"/>
      <c r="OC41" s="23"/>
      <c r="OD41" s="23"/>
      <c r="OE41" s="23"/>
      <c r="OF41" s="23"/>
      <c r="OG41" s="23"/>
      <c r="OH41" s="23"/>
      <c r="OI41" s="23"/>
      <c r="OJ41" s="23"/>
      <c r="OK41" s="23"/>
      <c r="OL41" s="23"/>
      <c r="OM41" s="23"/>
      <c r="ON41" s="23"/>
      <c r="OO41" s="23"/>
      <c r="OP41" s="23"/>
      <c r="OQ41" s="23"/>
      <c r="OR41" s="23"/>
      <c r="OS41" s="23"/>
      <c r="OT41" s="23"/>
      <c r="OU41" s="23"/>
      <c r="OV41" s="23"/>
      <c r="OW41" s="23"/>
      <c r="OX41" s="23"/>
      <c r="OY41" s="23"/>
      <c r="OZ41" s="23"/>
      <c r="PA41" s="23"/>
      <c r="PB41" s="23"/>
      <c r="PC41" s="23"/>
      <c r="PD41" s="23"/>
      <c r="PE41" s="23"/>
      <c r="PF41" s="23"/>
      <c r="PG41" s="23"/>
      <c r="PH41" s="23"/>
      <c r="PI41" s="23"/>
    </row>
    <row r="42" spans="1:425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  <c r="IX42" s="23"/>
      <c r="IY42" s="23"/>
      <c r="IZ42" s="23"/>
      <c r="JA42" s="23"/>
      <c r="JB42" s="23"/>
      <c r="JC42" s="23"/>
      <c r="JD42" s="23"/>
      <c r="JE42" s="23"/>
      <c r="JF42" s="23"/>
      <c r="JG42" s="23"/>
      <c r="JH42" s="23"/>
      <c r="JI42" s="23"/>
      <c r="JJ42" s="23"/>
      <c r="JK42" s="23"/>
      <c r="JL42" s="23"/>
      <c r="JM42" s="23"/>
      <c r="JN42" s="23"/>
      <c r="JO42" s="23"/>
      <c r="JP42" s="23"/>
      <c r="JQ42" s="23"/>
      <c r="JR42" s="23"/>
      <c r="JS42" s="23"/>
      <c r="JT42" s="23"/>
      <c r="JU42" s="23"/>
      <c r="JV42" s="23"/>
      <c r="JW42" s="23"/>
      <c r="JX42" s="23"/>
      <c r="JY42" s="23"/>
      <c r="JZ42" s="23"/>
      <c r="KA42" s="23"/>
      <c r="KB42" s="23"/>
      <c r="KC42" s="23"/>
      <c r="KD42" s="23"/>
      <c r="KE42" s="23"/>
      <c r="KF42" s="23"/>
      <c r="KG42" s="23"/>
      <c r="KH42" s="23"/>
      <c r="KI42" s="23"/>
      <c r="KJ42" s="23"/>
      <c r="KK42" s="23"/>
      <c r="KL42" s="23"/>
      <c r="KM42" s="23"/>
      <c r="KN42" s="23"/>
      <c r="KO42" s="23"/>
      <c r="KP42" s="23"/>
      <c r="KQ42" s="23"/>
      <c r="KR42" s="23"/>
      <c r="KS42" s="23"/>
      <c r="KT42" s="23"/>
      <c r="KU42" s="23"/>
      <c r="KV42" s="23"/>
      <c r="KW42" s="23"/>
      <c r="KX42" s="23"/>
      <c r="KY42" s="23"/>
      <c r="KZ42" s="23"/>
      <c r="LA42" s="23"/>
      <c r="LB42" s="23"/>
      <c r="LC42" s="23"/>
      <c r="LD42" s="23"/>
      <c r="LE42" s="23"/>
      <c r="LF42" s="23"/>
      <c r="LG42" s="23"/>
      <c r="LH42" s="23"/>
      <c r="LI42" s="23"/>
      <c r="LJ42" s="23"/>
      <c r="LK42" s="23"/>
      <c r="LL42" s="23"/>
      <c r="LM42" s="23"/>
      <c r="LN42" s="23"/>
      <c r="LO42" s="23"/>
      <c r="LP42" s="23"/>
      <c r="LQ42" s="23"/>
      <c r="LR42" s="23"/>
      <c r="LS42" s="23"/>
      <c r="LT42" s="23"/>
      <c r="LU42" s="23"/>
      <c r="LV42" s="23"/>
      <c r="LW42" s="23"/>
      <c r="LX42" s="23"/>
      <c r="LY42" s="23"/>
      <c r="LZ42" s="23"/>
      <c r="MA42" s="23"/>
      <c r="MB42" s="23"/>
      <c r="MC42" s="23"/>
      <c r="MD42" s="23"/>
      <c r="ME42" s="23"/>
      <c r="MF42" s="23"/>
      <c r="MG42" s="23"/>
      <c r="MH42" s="23"/>
      <c r="MI42" s="23"/>
      <c r="MJ42" s="23"/>
      <c r="MK42" s="23"/>
      <c r="ML42" s="23"/>
      <c r="MM42" s="23"/>
      <c r="MN42" s="23"/>
      <c r="MO42" s="23"/>
      <c r="MP42" s="23"/>
      <c r="MQ42" s="23"/>
      <c r="MR42" s="23"/>
      <c r="MS42" s="23"/>
      <c r="MT42" s="23"/>
      <c r="MU42" s="23"/>
      <c r="MV42" s="23"/>
      <c r="MW42" s="23"/>
      <c r="MX42" s="23"/>
      <c r="MY42" s="23"/>
      <c r="MZ42" s="23"/>
      <c r="NA42" s="23"/>
      <c r="NB42" s="23"/>
      <c r="NC42" s="23"/>
      <c r="ND42" s="23"/>
      <c r="NE42" s="23"/>
      <c r="NF42" s="23"/>
      <c r="NG42" s="23"/>
      <c r="NH42" s="23"/>
      <c r="NI42" s="23"/>
      <c r="NJ42" s="23"/>
      <c r="NK42" s="23"/>
      <c r="NL42" s="23"/>
      <c r="NM42" s="23"/>
      <c r="NN42" s="23"/>
      <c r="NO42" s="23"/>
      <c r="NP42" s="23"/>
      <c r="NQ42" s="23"/>
      <c r="NR42" s="23"/>
      <c r="NS42" s="23"/>
      <c r="NT42" s="23"/>
      <c r="NU42" s="23"/>
      <c r="NV42" s="23"/>
      <c r="NW42" s="23"/>
      <c r="NX42" s="23"/>
      <c r="NY42" s="23"/>
      <c r="NZ42" s="23"/>
      <c r="OA42" s="23"/>
      <c r="OB42" s="23"/>
      <c r="OC42" s="23"/>
      <c r="OD42" s="23"/>
      <c r="OE42" s="23"/>
      <c r="OF42" s="23"/>
      <c r="OG42" s="23"/>
      <c r="OH42" s="23"/>
      <c r="OI42" s="23"/>
      <c r="OJ42" s="23"/>
      <c r="OK42" s="23"/>
      <c r="OL42" s="23"/>
      <c r="OM42" s="23"/>
      <c r="ON42" s="23"/>
      <c r="OO42" s="23"/>
      <c r="OP42" s="23"/>
      <c r="OQ42" s="23"/>
      <c r="OR42" s="23"/>
      <c r="OS42" s="23"/>
      <c r="OT42" s="23"/>
      <c r="OU42" s="23"/>
      <c r="OV42" s="23"/>
      <c r="OW42" s="23"/>
      <c r="OX42" s="23"/>
      <c r="OY42" s="23"/>
      <c r="OZ42" s="23"/>
      <c r="PA42" s="23"/>
      <c r="PB42" s="23"/>
      <c r="PC42" s="23"/>
      <c r="PD42" s="23"/>
      <c r="PE42" s="23"/>
      <c r="PF42" s="23"/>
      <c r="PG42" s="23"/>
      <c r="PH42" s="23"/>
      <c r="PI42" s="23"/>
    </row>
    <row r="43" spans="1:425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  <c r="IX43" s="23"/>
      <c r="IY43" s="23"/>
      <c r="IZ43" s="23"/>
      <c r="JA43" s="23"/>
      <c r="JB43" s="23"/>
      <c r="JC43" s="23"/>
      <c r="JD43" s="23"/>
      <c r="JE43" s="23"/>
      <c r="JF43" s="23"/>
      <c r="JG43" s="23"/>
      <c r="JH43" s="23"/>
      <c r="JI43" s="23"/>
      <c r="JJ43" s="23"/>
      <c r="JK43" s="23"/>
      <c r="JL43" s="23"/>
      <c r="JM43" s="23"/>
      <c r="JN43" s="23"/>
      <c r="JO43" s="23"/>
      <c r="JP43" s="23"/>
      <c r="JQ43" s="23"/>
      <c r="JR43" s="23"/>
      <c r="JS43" s="23"/>
      <c r="JT43" s="23"/>
      <c r="JU43" s="23"/>
      <c r="JV43" s="23"/>
      <c r="JW43" s="23"/>
      <c r="JX43" s="23"/>
      <c r="JY43" s="23"/>
      <c r="JZ43" s="23"/>
      <c r="KA43" s="23"/>
      <c r="KB43" s="23"/>
      <c r="KC43" s="23"/>
      <c r="KD43" s="23"/>
      <c r="KE43" s="23"/>
      <c r="KF43" s="23"/>
      <c r="KG43" s="23"/>
      <c r="KH43" s="23"/>
      <c r="KI43" s="23"/>
      <c r="KJ43" s="23"/>
      <c r="KK43" s="23"/>
      <c r="KL43" s="23"/>
      <c r="KM43" s="23"/>
      <c r="KN43" s="23"/>
      <c r="KO43" s="23"/>
      <c r="KP43" s="23"/>
      <c r="KQ43" s="23"/>
      <c r="KR43" s="23"/>
      <c r="KS43" s="23"/>
      <c r="KT43" s="23"/>
      <c r="KU43" s="23"/>
      <c r="KV43" s="23"/>
      <c r="KW43" s="23"/>
      <c r="KX43" s="23"/>
      <c r="KY43" s="23"/>
      <c r="KZ43" s="23"/>
      <c r="LA43" s="23"/>
      <c r="LB43" s="23"/>
      <c r="LC43" s="23"/>
      <c r="LD43" s="23"/>
      <c r="LE43" s="23"/>
      <c r="LF43" s="23"/>
      <c r="LG43" s="23"/>
      <c r="LH43" s="23"/>
      <c r="LI43" s="23"/>
      <c r="LJ43" s="23"/>
      <c r="LK43" s="23"/>
      <c r="LL43" s="23"/>
      <c r="LM43" s="23"/>
      <c r="LN43" s="23"/>
      <c r="LO43" s="23"/>
      <c r="LP43" s="23"/>
      <c r="LQ43" s="23"/>
      <c r="LR43" s="23"/>
      <c r="LS43" s="23"/>
      <c r="LT43" s="23"/>
      <c r="LU43" s="23"/>
      <c r="LV43" s="23"/>
      <c r="LW43" s="23"/>
      <c r="LX43" s="23"/>
      <c r="LY43" s="23"/>
      <c r="LZ43" s="23"/>
      <c r="MA43" s="23"/>
      <c r="MB43" s="23"/>
      <c r="MC43" s="23"/>
      <c r="MD43" s="23"/>
      <c r="ME43" s="23"/>
      <c r="MF43" s="23"/>
      <c r="MG43" s="23"/>
      <c r="MH43" s="23"/>
      <c r="MI43" s="23"/>
      <c r="MJ43" s="23"/>
      <c r="MK43" s="23"/>
      <c r="ML43" s="23"/>
      <c r="MM43" s="23"/>
      <c r="MN43" s="23"/>
      <c r="MO43" s="23"/>
      <c r="MP43" s="23"/>
      <c r="MQ43" s="23"/>
      <c r="MR43" s="23"/>
      <c r="MS43" s="23"/>
      <c r="MT43" s="23"/>
      <c r="MU43" s="23"/>
      <c r="MV43" s="23"/>
      <c r="MW43" s="23"/>
      <c r="MX43" s="23"/>
      <c r="MY43" s="23"/>
      <c r="MZ43" s="23"/>
      <c r="NA43" s="23"/>
      <c r="NB43" s="23"/>
      <c r="NC43" s="23"/>
      <c r="ND43" s="23"/>
      <c r="NE43" s="23"/>
      <c r="NF43" s="23"/>
      <c r="NG43" s="23"/>
      <c r="NH43" s="23"/>
      <c r="NI43" s="23"/>
      <c r="NJ43" s="23"/>
      <c r="NK43" s="23"/>
      <c r="NL43" s="23"/>
      <c r="NM43" s="23"/>
      <c r="NN43" s="23"/>
      <c r="NO43" s="23"/>
      <c r="NP43" s="23"/>
      <c r="NQ43" s="23"/>
      <c r="NR43" s="23"/>
      <c r="NS43" s="23"/>
      <c r="NT43" s="23"/>
      <c r="NU43" s="23"/>
      <c r="NV43" s="23"/>
      <c r="NW43" s="23"/>
      <c r="NX43" s="23"/>
      <c r="NY43" s="23"/>
      <c r="NZ43" s="23"/>
      <c r="OA43" s="23"/>
      <c r="OB43" s="23"/>
      <c r="OC43" s="23"/>
      <c r="OD43" s="23"/>
      <c r="OE43" s="23"/>
      <c r="OF43" s="23"/>
      <c r="OG43" s="23"/>
      <c r="OH43" s="23"/>
      <c r="OI43" s="23"/>
      <c r="OJ43" s="23"/>
      <c r="OK43" s="23"/>
      <c r="OL43" s="23"/>
      <c r="OM43" s="23"/>
      <c r="ON43" s="23"/>
      <c r="OO43" s="23"/>
      <c r="OP43" s="23"/>
      <c r="OQ43" s="23"/>
      <c r="OR43" s="23"/>
      <c r="OS43" s="23"/>
      <c r="OT43" s="23"/>
      <c r="OU43" s="23"/>
      <c r="OV43" s="23"/>
      <c r="OW43" s="23"/>
      <c r="OX43" s="23"/>
      <c r="OY43" s="23"/>
      <c r="OZ43" s="23"/>
      <c r="PA43" s="23"/>
      <c r="PB43" s="23"/>
      <c r="PC43" s="23"/>
      <c r="PD43" s="23"/>
      <c r="PE43" s="23"/>
      <c r="PF43" s="23"/>
      <c r="PG43" s="23"/>
      <c r="PH43" s="23"/>
      <c r="PI43" s="23"/>
    </row>
    <row r="44" spans="1:425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  <c r="IX44" s="23"/>
      <c r="IY44" s="23"/>
      <c r="IZ44" s="23"/>
      <c r="JA44" s="23"/>
      <c r="JB44" s="23"/>
      <c r="JC44" s="23"/>
      <c r="JD44" s="23"/>
      <c r="JE44" s="23"/>
      <c r="JF44" s="23"/>
      <c r="JG44" s="23"/>
      <c r="JH44" s="23"/>
      <c r="JI44" s="23"/>
      <c r="JJ44" s="23"/>
      <c r="JK44" s="23"/>
      <c r="JL44" s="23"/>
      <c r="JM44" s="23"/>
      <c r="JN44" s="23"/>
      <c r="JO44" s="23"/>
      <c r="JP44" s="23"/>
      <c r="JQ44" s="23"/>
      <c r="JR44" s="23"/>
      <c r="JS44" s="23"/>
      <c r="JT44" s="23"/>
      <c r="JU44" s="23"/>
      <c r="JV44" s="23"/>
      <c r="JW44" s="23"/>
      <c r="JX44" s="23"/>
      <c r="JY44" s="23"/>
      <c r="JZ44" s="23"/>
      <c r="KA44" s="23"/>
      <c r="KB44" s="23"/>
      <c r="KC44" s="23"/>
      <c r="KD44" s="23"/>
      <c r="KE44" s="23"/>
      <c r="KF44" s="23"/>
      <c r="KG44" s="23"/>
      <c r="KH44" s="23"/>
      <c r="KI44" s="23"/>
      <c r="KJ44" s="23"/>
      <c r="KK44" s="23"/>
      <c r="KL44" s="23"/>
      <c r="KM44" s="23"/>
      <c r="KN44" s="23"/>
      <c r="KO44" s="23"/>
      <c r="KP44" s="23"/>
      <c r="KQ44" s="23"/>
      <c r="KR44" s="23"/>
      <c r="KS44" s="23"/>
      <c r="KT44" s="23"/>
      <c r="KU44" s="23"/>
      <c r="KV44" s="23"/>
      <c r="KW44" s="23"/>
      <c r="KX44" s="23"/>
      <c r="KY44" s="23"/>
      <c r="KZ44" s="23"/>
      <c r="LA44" s="23"/>
      <c r="LB44" s="23"/>
      <c r="LC44" s="23"/>
      <c r="LD44" s="23"/>
      <c r="LE44" s="23"/>
      <c r="LF44" s="23"/>
      <c r="LG44" s="23"/>
      <c r="LH44" s="23"/>
      <c r="LI44" s="23"/>
      <c r="LJ44" s="23"/>
      <c r="LK44" s="23"/>
      <c r="LL44" s="23"/>
      <c r="LM44" s="23"/>
      <c r="LN44" s="23"/>
      <c r="LO44" s="23"/>
      <c r="LP44" s="23"/>
      <c r="LQ44" s="23"/>
      <c r="LR44" s="23"/>
      <c r="LS44" s="23"/>
      <c r="LT44" s="23"/>
      <c r="LU44" s="23"/>
      <c r="LV44" s="23"/>
      <c r="LW44" s="23"/>
      <c r="LX44" s="23"/>
      <c r="LY44" s="23"/>
      <c r="LZ44" s="23"/>
      <c r="MA44" s="23"/>
      <c r="MB44" s="23"/>
      <c r="MC44" s="23"/>
      <c r="MD44" s="23"/>
      <c r="ME44" s="23"/>
      <c r="MF44" s="23"/>
      <c r="MG44" s="23"/>
      <c r="MH44" s="23"/>
      <c r="MI44" s="23"/>
      <c r="MJ44" s="23"/>
      <c r="MK44" s="23"/>
      <c r="ML44" s="23"/>
      <c r="MM44" s="23"/>
      <c r="MN44" s="23"/>
      <c r="MO44" s="23"/>
      <c r="MP44" s="23"/>
      <c r="MQ44" s="23"/>
      <c r="MR44" s="23"/>
      <c r="MS44" s="23"/>
      <c r="MT44" s="23"/>
      <c r="MU44" s="23"/>
      <c r="MV44" s="23"/>
      <c r="MW44" s="23"/>
      <c r="MX44" s="23"/>
      <c r="MY44" s="23"/>
      <c r="MZ44" s="23"/>
      <c r="NA44" s="23"/>
      <c r="NB44" s="23"/>
      <c r="NC44" s="23"/>
      <c r="ND44" s="23"/>
      <c r="NE44" s="23"/>
      <c r="NF44" s="23"/>
      <c r="NG44" s="23"/>
      <c r="NH44" s="23"/>
      <c r="NI44" s="23"/>
      <c r="NJ44" s="23"/>
      <c r="NK44" s="23"/>
      <c r="NL44" s="23"/>
      <c r="NM44" s="23"/>
      <c r="NN44" s="23"/>
      <c r="NO44" s="23"/>
      <c r="NP44" s="23"/>
      <c r="NQ44" s="23"/>
      <c r="NR44" s="23"/>
      <c r="NS44" s="23"/>
      <c r="NT44" s="23"/>
      <c r="NU44" s="23"/>
      <c r="NV44" s="23"/>
      <c r="NW44" s="23"/>
      <c r="NX44" s="23"/>
      <c r="NY44" s="23"/>
      <c r="NZ44" s="23"/>
      <c r="OA44" s="23"/>
      <c r="OB44" s="23"/>
      <c r="OC44" s="23"/>
      <c r="OD44" s="23"/>
      <c r="OE44" s="23"/>
      <c r="OF44" s="23"/>
      <c r="OG44" s="23"/>
      <c r="OH44" s="23"/>
      <c r="OI44" s="23"/>
      <c r="OJ44" s="23"/>
      <c r="OK44" s="23"/>
      <c r="OL44" s="23"/>
      <c r="OM44" s="23"/>
      <c r="ON44" s="23"/>
      <c r="OO44" s="23"/>
      <c r="OP44" s="23"/>
      <c r="OQ44" s="23"/>
      <c r="OR44" s="23"/>
      <c r="OS44" s="23"/>
      <c r="OT44" s="23"/>
      <c r="OU44" s="23"/>
      <c r="OV44" s="23"/>
      <c r="OW44" s="23"/>
      <c r="OX44" s="23"/>
      <c r="OY44" s="23"/>
      <c r="OZ44" s="23"/>
      <c r="PA44" s="23"/>
      <c r="PB44" s="23"/>
      <c r="PC44" s="23"/>
      <c r="PD44" s="23"/>
      <c r="PE44" s="23"/>
      <c r="PF44" s="23"/>
      <c r="PG44" s="23"/>
      <c r="PH44" s="23"/>
      <c r="PI44" s="23"/>
    </row>
    <row r="45" spans="1:425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  <c r="IX45" s="23"/>
      <c r="IY45" s="23"/>
      <c r="IZ45" s="23"/>
      <c r="JA45" s="23"/>
      <c r="JB45" s="23"/>
      <c r="JC45" s="23"/>
      <c r="JD45" s="23"/>
      <c r="JE45" s="23"/>
      <c r="JF45" s="23"/>
      <c r="JG45" s="23"/>
      <c r="JH45" s="23"/>
      <c r="JI45" s="23"/>
      <c r="JJ45" s="23"/>
      <c r="JK45" s="23"/>
      <c r="JL45" s="23"/>
      <c r="JM45" s="23"/>
      <c r="JN45" s="23"/>
      <c r="JO45" s="23"/>
      <c r="JP45" s="23"/>
      <c r="JQ45" s="23"/>
      <c r="JR45" s="23"/>
      <c r="JS45" s="23"/>
      <c r="JT45" s="23"/>
      <c r="JU45" s="23"/>
      <c r="JV45" s="23"/>
      <c r="JW45" s="23"/>
      <c r="JX45" s="23"/>
      <c r="JY45" s="23"/>
      <c r="JZ45" s="23"/>
      <c r="KA45" s="23"/>
      <c r="KB45" s="23"/>
      <c r="KC45" s="23"/>
      <c r="KD45" s="23"/>
      <c r="KE45" s="23"/>
      <c r="KF45" s="23"/>
      <c r="KG45" s="23"/>
      <c r="KH45" s="23"/>
      <c r="KI45" s="23"/>
      <c r="KJ45" s="23"/>
      <c r="KK45" s="23"/>
      <c r="KL45" s="23"/>
      <c r="KM45" s="23"/>
      <c r="KN45" s="23"/>
      <c r="KO45" s="23"/>
      <c r="KP45" s="23"/>
      <c r="KQ45" s="23"/>
      <c r="KR45" s="23"/>
      <c r="KS45" s="23"/>
      <c r="KT45" s="23"/>
      <c r="KU45" s="23"/>
      <c r="KV45" s="23"/>
      <c r="KW45" s="23"/>
      <c r="KX45" s="23"/>
      <c r="KY45" s="23"/>
      <c r="KZ45" s="23"/>
      <c r="LA45" s="23"/>
      <c r="LB45" s="23"/>
      <c r="LC45" s="23"/>
      <c r="LD45" s="23"/>
      <c r="LE45" s="23"/>
      <c r="LF45" s="23"/>
      <c r="LG45" s="23"/>
      <c r="LH45" s="23"/>
      <c r="LI45" s="23"/>
      <c r="LJ45" s="23"/>
      <c r="LK45" s="23"/>
      <c r="LL45" s="23"/>
      <c r="LM45" s="23"/>
      <c r="LN45" s="23"/>
      <c r="LO45" s="23"/>
      <c r="LP45" s="23"/>
      <c r="LQ45" s="23"/>
      <c r="LR45" s="23"/>
      <c r="LS45" s="23"/>
      <c r="LT45" s="23"/>
      <c r="LU45" s="23"/>
      <c r="LV45" s="23"/>
      <c r="LW45" s="23"/>
      <c r="LX45" s="23"/>
      <c r="LY45" s="23"/>
      <c r="LZ45" s="23"/>
      <c r="MA45" s="23"/>
      <c r="MB45" s="23"/>
      <c r="MC45" s="23"/>
      <c r="MD45" s="23"/>
      <c r="ME45" s="23"/>
      <c r="MF45" s="23"/>
      <c r="MG45" s="23"/>
      <c r="MH45" s="23"/>
      <c r="MI45" s="23"/>
      <c r="MJ45" s="23"/>
      <c r="MK45" s="23"/>
      <c r="ML45" s="23"/>
      <c r="MM45" s="23"/>
      <c r="MN45" s="23"/>
      <c r="MO45" s="23"/>
      <c r="MP45" s="23"/>
      <c r="MQ45" s="23"/>
      <c r="MR45" s="23"/>
      <c r="MS45" s="23"/>
      <c r="MT45" s="23"/>
      <c r="MU45" s="23"/>
      <c r="MV45" s="23"/>
      <c r="MW45" s="23"/>
      <c r="MX45" s="23"/>
      <c r="MY45" s="23"/>
      <c r="MZ45" s="23"/>
      <c r="NA45" s="23"/>
      <c r="NB45" s="23"/>
      <c r="NC45" s="23"/>
      <c r="ND45" s="23"/>
      <c r="NE45" s="23"/>
      <c r="NF45" s="23"/>
      <c r="NG45" s="23"/>
      <c r="NH45" s="23"/>
      <c r="NI45" s="23"/>
      <c r="NJ45" s="23"/>
      <c r="NK45" s="23"/>
      <c r="NL45" s="23"/>
      <c r="NM45" s="23"/>
      <c r="NN45" s="23"/>
      <c r="NO45" s="23"/>
      <c r="NP45" s="23"/>
      <c r="NQ45" s="23"/>
      <c r="NR45" s="23"/>
      <c r="NS45" s="23"/>
      <c r="NT45" s="23"/>
      <c r="NU45" s="23"/>
      <c r="NV45" s="23"/>
      <c r="NW45" s="23"/>
      <c r="NX45" s="23"/>
      <c r="NY45" s="23"/>
      <c r="NZ45" s="23"/>
      <c r="OA45" s="23"/>
      <c r="OB45" s="23"/>
      <c r="OC45" s="23"/>
      <c r="OD45" s="23"/>
      <c r="OE45" s="23"/>
      <c r="OF45" s="23"/>
      <c r="OG45" s="23"/>
      <c r="OH45" s="23"/>
      <c r="OI45" s="23"/>
      <c r="OJ45" s="23"/>
      <c r="OK45" s="23"/>
      <c r="OL45" s="23"/>
      <c r="OM45" s="23"/>
      <c r="ON45" s="23"/>
      <c r="OO45" s="23"/>
      <c r="OP45" s="23"/>
      <c r="OQ45" s="23"/>
      <c r="OR45" s="23"/>
      <c r="OS45" s="23"/>
      <c r="OT45" s="23"/>
      <c r="OU45" s="23"/>
      <c r="OV45" s="23"/>
      <c r="OW45" s="23"/>
      <c r="OX45" s="23"/>
      <c r="OY45" s="23"/>
      <c r="OZ45" s="23"/>
      <c r="PA45" s="23"/>
      <c r="PB45" s="23"/>
      <c r="PC45" s="23"/>
      <c r="PD45" s="23"/>
      <c r="PE45" s="23"/>
      <c r="PF45" s="23"/>
      <c r="PG45" s="23"/>
      <c r="PH45" s="23"/>
      <c r="PI45" s="23"/>
    </row>
    <row r="46" spans="1:425" ht="21" customHeight="1" x14ac:dyDescent="0.3">
      <c r="B46" s="15" t="s">
        <v>16</v>
      </c>
      <c r="C46" s="489"/>
      <c r="D46" s="489"/>
      <c r="E46" s="489"/>
      <c r="F46" s="489"/>
      <c r="G46" s="489"/>
      <c r="H46" s="489"/>
    </row>
    <row r="47" spans="1:425" ht="21" customHeight="1" x14ac:dyDescent="0.25">
      <c r="B47" s="13"/>
      <c r="C47" s="488"/>
      <c r="D47" s="488"/>
      <c r="E47" s="488"/>
      <c r="F47" s="488"/>
      <c r="G47" s="488"/>
      <c r="H47" s="488"/>
    </row>
    <row r="48" spans="1:425" ht="21" customHeight="1" x14ac:dyDescent="0.25">
      <c r="B48" s="11"/>
      <c r="C48" s="488"/>
      <c r="D48" s="488"/>
      <c r="E48" s="488"/>
      <c r="F48" s="488"/>
      <c r="G48" s="488"/>
      <c r="H48" s="488"/>
    </row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</sheetData>
  <sheetProtection algorithmName="SHA-512" hashValue="VoucuzNaWyzwy49g0Nf89Z05M5954OI95PrrmVodwllUL3g/8MPjcVUoOOWLLC190u8B5wzTYxB09IuLafzOWw==" saltValue="WnHK0JKS3RoOYCnlJsvy/g==" spinCount="100000" sheet="1" selectLockedCells="1"/>
  <mergeCells count="6">
    <mergeCell ref="A1:H1"/>
    <mergeCell ref="G10:H15"/>
    <mergeCell ref="B26:G26"/>
    <mergeCell ref="C48:H48"/>
    <mergeCell ref="C47:H47"/>
    <mergeCell ref="C46:H46"/>
  </mergeCells>
  <phoneticPr fontId="0" type="noConversion"/>
  <dataValidations count="1">
    <dataValidation allowBlank="1" showInputMessage="1" promptTitle="Typical Waste Allowance" prompt="Typical allowance  is 2-5%. Projects with a higher than average number of openings and corners may require a higher allowance. " sqref="E4" xr:uid="{00000000-0002-0000-0100-000000000000}"/>
  </dataValidations>
  <hyperlinks>
    <hyperlink ref="H38" r:id="rId1" xr:uid="{00000000-0004-0000-0100-000000000000}"/>
    <hyperlink ref="H37" r:id="rId2" xr:uid="{00000000-0004-0000-0100-000001000000}"/>
    <hyperlink ref="H36" r:id="rId3" xr:uid="{00000000-0004-0000-0100-000002000000}"/>
    <hyperlink ref="H34" r:id="rId4" xr:uid="{00000000-0004-0000-0100-000003000000}"/>
    <hyperlink ref="H35" r:id="rId5" xr:uid="{00000000-0004-0000-0100-000004000000}"/>
  </hyperlinks>
  <pageMargins left="0.75" right="0.75" top="1" bottom="1" header="0.5" footer="0.5"/>
  <pageSetup orientation="portrait" r:id="rId6"/>
  <headerFooter alignWithMargins="0"/>
  <drawing r:id="rId7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0">
    <tabColor rgb="FFC00000"/>
  </sheetPr>
  <dimension ref="A1:AM48"/>
  <sheetViews>
    <sheetView showGridLines="0" showRowColHeaders="0" topLeftCell="A5" zoomScaleNormal="100" workbookViewId="0">
      <selection activeCell="H37" sqref="H37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12" t="s">
        <v>219</v>
      </c>
      <c r="B1" s="512"/>
      <c r="C1" s="512"/>
      <c r="D1" s="512"/>
      <c r="E1" s="512"/>
      <c r="F1" s="512"/>
      <c r="G1" s="512"/>
      <c r="H1" s="512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1"/>
      <c r="C3" s="36"/>
      <c r="D3" s="94" t="s">
        <v>87</v>
      </c>
      <c r="E3" s="96">
        <v>200</v>
      </c>
      <c r="F3" s="2"/>
      <c r="G3" s="2"/>
      <c r="H3" s="3"/>
    </row>
    <row r="4" spans="1:8" ht="18" customHeight="1" x14ac:dyDescent="0.3">
      <c r="A4" s="22"/>
      <c r="B4" s="35"/>
      <c r="C4" s="36"/>
      <c r="D4" s="95" t="s">
        <v>13</v>
      </c>
      <c r="E4" s="97">
        <v>0</v>
      </c>
      <c r="F4" s="2"/>
      <c r="G4" s="2"/>
      <c r="H4" s="3"/>
    </row>
    <row r="5" spans="1:8" ht="18" customHeight="1" x14ac:dyDescent="0.3">
      <c r="A5" s="22"/>
      <c r="B5" s="35"/>
      <c r="C5" s="36"/>
      <c r="D5" s="95" t="s">
        <v>86</v>
      </c>
      <c r="E5" s="344">
        <f>E3+E3*E4/100</f>
        <v>200</v>
      </c>
      <c r="F5" s="2"/>
      <c r="G5" s="2"/>
      <c r="H5" s="3"/>
    </row>
    <row r="6" spans="1:8" ht="12.75" customHeight="1" x14ac:dyDescent="0.25">
      <c r="A6" s="22"/>
      <c r="B6" s="12"/>
      <c r="C6" s="22"/>
      <c r="D6" s="22"/>
      <c r="E6" s="22"/>
      <c r="F6" s="22"/>
      <c r="G6" s="22"/>
    </row>
    <row r="7" spans="1:8" ht="18" customHeight="1" thickBot="1" x14ac:dyDescent="0.3">
      <c r="A7" s="7"/>
      <c r="B7" s="100" t="s">
        <v>0</v>
      </c>
      <c r="C7" s="101" t="s">
        <v>33</v>
      </c>
      <c r="D7" s="102" t="s">
        <v>34</v>
      </c>
      <c r="E7" s="102" t="s">
        <v>35</v>
      </c>
      <c r="F7" s="259" t="s">
        <v>36</v>
      </c>
      <c r="G7" s="239"/>
      <c r="H7" s="229"/>
    </row>
    <row r="8" spans="1:8" ht="18" customHeight="1" thickTop="1" x14ac:dyDescent="0.25">
      <c r="A8" s="22"/>
      <c r="B8" s="103" t="s">
        <v>11</v>
      </c>
      <c r="C8" s="88">
        <v>0.1</v>
      </c>
      <c r="D8" s="89">
        <v>0.4</v>
      </c>
      <c r="E8" s="89">
        <v>0.3</v>
      </c>
      <c r="F8" s="152">
        <v>0.2</v>
      </c>
      <c r="G8" s="74">
        <f>SUM(C8,D8,E8,F8)</f>
        <v>1</v>
      </c>
      <c r="H8" s="229"/>
    </row>
    <row r="9" spans="1:8" ht="18.75" hidden="1" customHeight="1" x14ac:dyDescent="0.25">
      <c r="A9" s="22"/>
      <c r="B9" s="51" t="s">
        <v>67</v>
      </c>
      <c r="C9" s="104">
        <v>0.48</v>
      </c>
      <c r="D9" s="105">
        <v>0.96</v>
      </c>
      <c r="E9" s="105">
        <v>1.45</v>
      </c>
      <c r="F9" s="242">
        <v>1.92</v>
      </c>
      <c r="G9" s="240"/>
      <c r="H9" s="203"/>
    </row>
    <row r="10" spans="1:8" ht="12.75" customHeight="1" x14ac:dyDescent="0.25">
      <c r="A10" s="22"/>
      <c r="B10" s="50" t="s">
        <v>1</v>
      </c>
      <c r="C10" s="106">
        <f>+($E$5*C8)/C9</f>
        <v>41.666666666666671</v>
      </c>
      <c r="D10" s="107">
        <f>+($E$5*D8)/D9</f>
        <v>83.333333333333343</v>
      </c>
      <c r="E10" s="107">
        <f>+($E$5*E8)/E9</f>
        <v>41.379310344827587</v>
      </c>
      <c r="F10" s="241">
        <f>+($E$5*F8)/F9</f>
        <v>20.833333333333336</v>
      </c>
      <c r="G10" s="490" t="s">
        <v>90</v>
      </c>
      <c r="H10" s="490"/>
    </row>
    <row r="11" spans="1:8" ht="12.75" customHeight="1" x14ac:dyDescent="0.25">
      <c r="A11" s="22"/>
      <c r="B11" s="51" t="s">
        <v>68</v>
      </c>
      <c r="C11" s="104">
        <v>148</v>
      </c>
      <c r="D11" s="105">
        <v>74</v>
      </c>
      <c r="E11" s="105">
        <v>45</v>
      </c>
      <c r="F11" s="242">
        <v>27</v>
      </c>
      <c r="G11" s="490"/>
      <c r="H11" s="490"/>
    </row>
    <row r="12" spans="1:8" ht="12.75" customHeight="1" thickBot="1" x14ac:dyDescent="0.3">
      <c r="A12" s="22"/>
      <c r="B12" s="115" t="s">
        <v>84</v>
      </c>
      <c r="C12" s="138">
        <v>10.6</v>
      </c>
      <c r="D12" s="138">
        <v>10.6</v>
      </c>
      <c r="E12" s="105">
        <v>9</v>
      </c>
      <c r="F12" s="242">
        <v>9</v>
      </c>
      <c r="G12" s="490"/>
      <c r="H12" s="490"/>
    </row>
    <row r="13" spans="1:8" ht="18.75" hidden="1" customHeight="1" x14ac:dyDescent="0.25">
      <c r="A13" s="22"/>
      <c r="B13" s="116" t="s">
        <v>64</v>
      </c>
      <c r="C13" s="138">
        <v>11</v>
      </c>
      <c r="D13" s="138">
        <v>11</v>
      </c>
      <c r="E13" s="105">
        <v>9</v>
      </c>
      <c r="F13" s="242">
        <v>9</v>
      </c>
      <c r="G13" s="490"/>
      <c r="H13" s="490"/>
    </row>
    <row r="14" spans="1:8" ht="18.75" hidden="1" customHeight="1" thickBot="1" x14ac:dyDescent="0.3">
      <c r="A14" s="22"/>
      <c r="B14" s="116" t="s">
        <v>65</v>
      </c>
      <c r="C14" s="138">
        <v>10</v>
      </c>
      <c r="D14" s="138">
        <v>10</v>
      </c>
      <c r="E14" s="105">
        <v>9</v>
      </c>
      <c r="F14" s="242">
        <v>9</v>
      </c>
      <c r="G14" s="490"/>
      <c r="H14" s="490"/>
    </row>
    <row r="15" spans="1:8" ht="18" customHeight="1" thickBot="1" x14ac:dyDescent="0.3">
      <c r="A15" s="22"/>
      <c r="B15" s="52" t="s">
        <v>69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1</v>
      </c>
      <c r="F15" s="65">
        <f>IF(MOD(F10+F13,F11)&lt;=F13,1+ROUNDDOWN(F10/F11,0),ROUNDDOWN(F10/F11,0))</f>
        <v>1</v>
      </c>
      <c r="G15" s="490"/>
      <c r="H15" s="490"/>
    </row>
    <row r="16" spans="1:8" ht="18" customHeight="1" thickBot="1" x14ac:dyDescent="0.3">
      <c r="A16" s="22"/>
      <c r="B16" s="139" t="s">
        <v>85</v>
      </c>
      <c r="C16" s="119">
        <f>IF(ROUNDUP((C10-(C11*C15))/C12,0)&lt;0,0,ROUNDUP((C10-(C11*C15))/C12,0))</f>
        <v>4</v>
      </c>
      <c r="D16" s="119">
        <f>IF(ROUNDUP((D10-(D11*D15))/D12,0)&lt;0,0,ROUNDUP((D10-(D11*D15))/D12,0))</f>
        <v>1</v>
      </c>
      <c r="E16" s="119">
        <f>IF(ROUNDUP((E10-(E11*E15))/E12,0)&lt;0,0,ROUNDUP((E10-(E11*E15))/E12,0))</f>
        <v>0</v>
      </c>
      <c r="F16" s="119">
        <f>IF(ROUNDUP((F10-(F11*F15))/F12,0)&lt;0,0,ROUNDUP((F10-(F11*F15))/F12,0))</f>
        <v>0</v>
      </c>
      <c r="G16" s="260"/>
      <c r="H16" s="203"/>
    </row>
    <row r="17" spans="1:39" ht="18" customHeight="1" x14ac:dyDescent="0.25">
      <c r="A17" s="22"/>
      <c r="B17" s="140" t="s">
        <v>66</v>
      </c>
      <c r="C17" s="123">
        <f>(C15*C11)+IF(OR(C16=3,C16=8,C16=13),(ROUNDUP(C16*0.67,0)*C13)+(ROUNDDOWN(C16*0.31,0)*C14),(ROUNDUP(C16*0.6,0)*C13)+(ROUNDDOWN(C16*0.4,0)*C14))</f>
        <v>43</v>
      </c>
      <c r="D17" s="123">
        <f>(D15*D11)+(ROUNDUP(D16/2,0)*D13)+(ROUNDDOWN(D16/2,0)*D14)</f>
        <v>85</v>
      </c>
      <c r="E17" s="123">
        <f>(E15*E11)+(ROUNDUP(E16/2,0)*E13)+(ROUNDDOWN(E16/2,0)*E14)</f>
        <v>45</v>
      </c>
      <c r="F17" s="123">
        <f>(F15*F11)+(ROUNDUP(F16/2,0)*F13)+(ROUNDDOWN(F16/2,0)*F14)</f>
        <v>27</v>
      </c>
      <c r="G17" s="260"/>
      <c r="H17" s="203"/>
    </row>
    <row r="18" spans="1:39" ht="12.75" customHeight="1" x14ac:dyDescent="0.25">
      <c r="A18" s="22"/>
      <c r="B18" s="143" t="s">
        <v>71</v>
      </c>
      <c r="C18" s="78">
        <f>C11*C19</f>
        <v>2675.8399999999997</v>
      </c>
      <c r="D18" s="78">
        <f>D11*D19</f>
        <v>2855.4749999999999</v>
      </c>
      <c r="E18" s="78">
        <f>E11*E19</f>
        <v>2758.4549999999999</v>
      </c>
      <c r="F18" s="78">
        <f>F11*F19</f>
        <v>2309.9580000000001</v>
      </c>
      <c r="G18" s="240"/>
      <c r="H18" s="203"/>
    </row>
    <row r="19" spans="1:39" ht="12.75" customHeight="1" x14ac:dyDescent="0.25">
      <c r="A19" s="22"/>
      <c r="B19" s="217" t="s">
        <v>70</v>
      </c>
      <c r="C19" s="236">
        <v>18.079999999999998</v>
      </c>
      <c r="D19" s="236">
        <v>38.587499999999999</v>
      </c>
      <c r="E19" s="236">
        <v>61.298999999999999</v>
      </c>
      <c r="F19" s="236">
        <v>85.554000000000002</v>
      </c>
      <c r="G19" s="240"/>
      <c r="H19" s="203"/>
      <c r="M19" s="261"/>
    </row>
    <row r="20" spans="1:39" ht="12.75" hidden="1" customHeight="1" x14ac:dyDescent="0.25">
      <c r="A20" s="22"/>
      <c r="B20" s="219" t="s">
        <v>72</v>
      </c>
      <c r="C20" s="78">
        <f>+C17*C9</f>
        <v>20.64</v>
      </c>
      <c r="D20" s="78">
        <f>+D17*D9</f>
        <v>81.599999999999994</v>
      </c>
      <c r="E20" s="78">
        <f>+E17*E9</f>
        <v>65.25</v>
      </c>
      <c r="F20" s="78">
        <f>+F17*F9</f>
        <v>51.839999999999996</v>
      </c>
      <c r="G20" s="240"/>
      <c r="H20" s="203"/>
    </row>
    <row r="21" spans="1:39" ht="12.75" customHeight="1" x14ac:dyDescent="0.25">
      <c r="A21" s="22"/>
      <c r="B21" s="262"/>
      <c r="C21" s="218"/>
      <c r="D21" s="218"/>
      <c r="E21" s="218"/>
      <c r="F21" s="218"/>
      <c r="G21" s="240"/>
      <c r="H21" s="203"/>
    </row>
    <row r="22" spans="1:39" ht="12.75" customHeight="1" x14ac:dyDescent="0.25">
      <c r="A22" s="22"/>
      <c r="B22" s="77" t="s">
        <v>199</v>
      </c>
      <c r="C22" s="218"/>
      <c r="D22" s="218"/>
      <c r="E22" s="218"/>
      <c r="F22" s="218"/>
      <c r="G22" s="240"/>
      <c r="H22" s="203"/>
    </row>
    <row r="23" spans="1:39" ht="12.75" customHeight="1" x14ac:dyDescent="0.25">
      <c r="A23" s="22"/>
      <c r="B23" s="86" t="s">
        <v>105</v>
      </c>
      <c r="C23" s="218"/>
      <c r="D23" s="218"/>
      <c r="E23" s="218"/>
      <c r="F23" s="218"/>
      <c r="G23" s="240"/>
      <c r="H23" s="203"/>
    </row>
    <row r="24" spans="1:39" ht="12.75" customHeight="1" x14ac:dyDescent="0.25">
      <c r="A24" s="22"/>
      <c r="B24" s="261" t="s">
        <v>202</v>
      </c>
      <c r="C24" s="218"/>
      <c r="D24" s="218"/>
      <c r="E24" s="218"/>
      <c r="F24" s="218"/>
      <c r="G24" s="240"/>
      <c r="H24" s="203"/>
    </row>
    <row r="25" spans="1:39" ht="12.75" customHeight="1" x14ac:dyDescent="0.25">
      <c r="A25" s="22"/>
      <c r="B25" s="86" t="s">
        <v>89</v>
      </c>
      <c r="C25" s="218"/>
      <c r="D25" s="218"/>
      <c r="E25" s="218"/>
      <c r="F25" s="218"/>
      <c r="G25" s="240"/>
      <c r="H25" s="203"/>
    </row>
    <row r="26" spans="1:39" ht="12.75" customHeight="1" x14ac:dyDescent="0.25">
      <c r="A26" s="22"/>
      <c r="B26" s="87" t="s">
        <v>50</v>
      </c>
      <c r="C26" s="218"/>
      <c r="D26" s="218"/>
      <c r="E26" s="218"/>
      <c r="F26" s="218"/>
      <c r="G26" s="240"/>
      <c r="H26" s="203"/>
    </row>
    <row r="27" spans="1:39" ht="18" customHeight="1" x14ac:dyDescent="0.25">
      <c r="A27" s="44"/>
      <c r="B27" s="44"/>
      <c r="C27" s="243" t="s">
        <v>93</v>
      </c>
      <c r="D27" s="234">
        <f>SUM(C20:F20)</f>
        <v>219.33</v>
      </c>
      <c r="E27" s="258" t="s">
        <v>17</v>
      </c>
      <c r="F27" s="44"/>
      <c r="G27" s="44"/>
      <c r="H27" s="46"/>
      <c r="K27" s="22"/>
    </row>
    <row r="28" spans="1:39" ht="18" customHeight="1" x14ac:dyDescent="0.25">
      <c r="A28" s="39"/>
      <c r="B28" s="39"/>
      <c r="C28" s="69" t="s">
        <v>2</v>
      </c>
      <c r="D28" s="70">
        <f>ROUND(+D27/35,0)</f>
        <v>6</v>
      </c>
      <c r="E28" s="73" t="s">
        <v>4</v>
      </c>
      <c r="F28" s="39"/>
      <c r="G28" s="39"/>
      <c r="H28" s="35"/>
    </row>
    <row r="29" spans="1:39" ht="12.75" customHeight="1" x14ac:dyDescent="0.25">
      <c r="A29" s="39"/>
      <c r="B29" s="487" t="s">
        <v>8</v>
      </c>
      <c r="C29" s="487"/>
      <c r="D29" s="487"/>
      <c r="E29" s="487"/>
      <c r="F29" s="487"/>
      <c r="G29" s="487"/>
      <c r="H29" s="35"/>
    </row>
    <row r="30" spans="1:39" ht="18" customHeight="1" x14ac:dyDescent="0.25">
      <c r="A30" s="44"/>
      <c r="B30" s="44"/>
      <c r="C30" s="243" t="s">
        <v>96</v>
      </c>
      <c r="D30" s="234">
        <f>SUM(C17*C19+D17*D19+E17*E19+F17*F19)</f>
        <v>9125.790500000001</v>
      </c>
      <c r="E30" s="258" t="s">
        <v>3</v>
      </c>
      <c r="F30" s="44"/>
      <c r="G30" s="44"/>
      <c r="H30" s="46"/>
    </row>
    <row r="31" spans="1:39" s="17" customForma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:39" s="17" customForma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</row>
    <row r="33" spans="1:39" s="17" customForma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</row>
    <row r="34" spans="1:39" s="17" customFormat="1" ht="17.399999999999999" x14ac:dyDescent="0.25">
      <c r="A34" s="23"/>
      <c r="B34" s="23"/>
      <c r="C34" s="23"/>
      <c r="D34" s="23"/>
      <c r="E34" s="23"/>
      <c r="F34" s="23"/>
      <c r="G34" s="23"/>
      <c r="H34" s="223" t="s">
        <v>9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1:39" s="17" customFormat="1" x14ac:dyDescent="0.25">
      <c r="A35" s="23"/>
      <c r="B35" s="23"/>
      <c r="C35" s="23"/>
      <c r="D35" s="23"/>
      <c r="E35" s="23"/>
      <c r="F35" s="23"/>
      <c r="G35" s="23"/>
      <c r="H35" s="11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1:39" s="17" customFormat="1" x14ac:dyDescent="0.25">
      <c r="A36" s="23"/>
      <c r="B36" s="23"/>
      <c r="C36" s="23"/>
      <c r="D36" s="23"/>
      <c r="E36" s="23"/>
      <c r="F36" s="23"/>
      <c r="G36" s="23"/>
      <c r="H36" s="224" t="s">
        <v>56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</row>
    <row r="37" spans="1:39" s="17" customFormat="1" x14ac:dyDescent="0.25">
      <c r="A37" s="23"/>
      <c r="B37" s="23"/>
      <c r="C37" s="23"/>
      <c r="D37" s="23"/>
      <c r="E37" s="23"/>
      <c r="F37" s="23"/>
      <c r="G37" s="23"/>
      <c r="H37" s="199" t="s">
        <v>55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</row>
    <row r="38" spans="1:39" s="17" customFormat="1" x14ac:dyDescent="0.25">
      <c r="A38" s="23"/>
      <c r="B38" s="23"/>
      <c r="C38" s="23"/>
      <c r="D38" s="23"/>
      <c r="E38" s="23"/>
      <c r="F38" s="23"/>
      <c r="G38" s="23"/>
      <c r="H38" s="246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</row>
    <row r="39" spans="1:39" s="17" customFormat="1" x14ac:dyDescent="0.25">
      <c r="A39" s="23"/>
      <c r="B39" s="23"/>
      <c r="C39" s="23"/>
      <c r="D39" s="23"/>
      <c r="E39" s="23"/>
      <c r="F39" s="23"/>
      <c r="G39" s="23"/>
      <c r="H39" s="199" t="s">
        <v>6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</row>
    <row r="40" spans="1:39" s="17" customFormat="1" x14ac:dyDescent="0.25">
      <c r="A40" s="23"/>
      <c r="B40" s="23"/>
      <c r="C40" s="23"/>
      <c r="D40" s="23"/>
      <c r="E40" s="23"/>
      <c r="F40" s="23"/>
      <c r="G40" s="23"/>
      <c r="H40" s="199" t="s">
        <v>59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</row>
    <row r="41" spans="1:39" s="17" customFormat="1" x14ac:dyDescent="0.25">
      <c r="A41" s="23"/>
      <c r="B41" s="23"/>
      <c r="C41" s="23"/>
      <c r="D41" s="23"/>
      <c r="E41" s="23"/>
      <c r="F41" s="23"/>
      <c r="G41" s="23"/>
      <c r="H41" s="199" t="s">
        <v>10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</row>
    <row r="42" spans="1:39" s="17" customFormat="1" x14ac:dyDescent="0.25">
      <c r="A42" s="23"/>
      <c r="B42" s="23"/>
      <c r="C42" s="23"/>
      <c r="D42" s="23"/>
      <c r="E42" s="23"/>
      <c r="F42" s="23"/>
      <c r="G42" s="23"/>
      <c r="H42" s="225" t="s">
        <v>7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</row>
    <row r="43" spans="1:39" s="17" customForma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</row>
    <row r="44" spans="1:39" s="17" customForma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</row>
    <row r="45" spans="1:39" s="17" customForma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1:39" s="17" customFormat="1" ht="21" customHeight="1" x14ac:dyDescent="0.3">
      <c r="A46" s="23"/>
      <c r="B46" s="15" t="s">
        <v>16</v>
      </c>
      <c r="C46" s="114"/>
      <c r="D46" s="114"/>
      <c r="E46" s="114"/>
      <c r="F46" s="114"/>
      <c r="G46" s="114"/>
      <c r="H46" s="11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</row>
    <row r="47" spans="1:39" s="17" customFormat="1" ht="21" customHeight="1" x14ac:dyDescent="0.25">
      <c r="A47" s="23"/>
      <c r="B47" s="13"/>
      <c r="C47" s="112"/>
      <c r="D47" s="112"/>
      <c r="E47" s="112"/>
      <c r="F47" s="112"/>
      <c r="G47" s="112"/>
      <c r="H47" s="112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</row>
    <row r="48" spans="1:39" ht="21" customHeight="1" x14ac:dyDescent="0.25">
      <c r="B48" s="11"/>
      <c r="C48" s="112"/>
      <c r="D48" s="112"/>
      <c r="E48" s="112"/>
      <c r="F48" s="112"/>
      <c r="G48" s="112"/>
      <c r="H48" s="112"/>
    </row>
  </sheetData>
  <sheetProtection algorithmName="SHA-512" hashValue="zmrmA8V+hnZRJG1SFUhuO2QUgoe0S6rCO2y3481DZ27kJxqig0ObTAyohGZclPcx5E8PwjRxJLM7JQu0kKVSSA==" saltValue="BO6uNsZvXSnjppiqRxsAWQ==" spinCount="100000" sheet="1" selectLockedCells="1"/>
  <mergeCells count="3">
    <mergeCell ref="A1:H1"/>
    <mergeCell ref="G10:H15"/>
    <mergeCell ref="B29:G29"/>
  </mergeCells>
  <phoneticPr fontId="0" type="noConversion"/>
  <dataValidations xWindow="808" yWindow="194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1400-000000000000}"/>
  </dataValidations>
  <hyperlinks>
    <hyperlink ref="H41" r:id="rId1" xr:uid="{00000000-0004-0000-1400-000000000000}"/>
    <hyperlink ref="H40" r:id="rId2" xr:uid="{00000000-0004-0000-1400-000001000000}"/>
    <hyperlink ref="H39" r:id="rId3" xr:uid="{00000000-0004-0000-1400-000002000000}"/>
    <hyperlink ref="H37" r:id="rId4" xr:uid="{00000000-0004-0000-1400-000003000000}"/>
  </hyperlinks>
  <pageMargins left="0.75" right="0.75" top="1" bottom="1" header="0.5" footer="0.5"/>
  <pageSetup fitToWidth="0" fitToHeight="0" orientation="portrait" r:id="rId5"/>
  <headerFooter alignWithMargins="0"/>
  <drawing r:id="rId6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0DC4-B05F-426E-86CA-27688BB047C2}">
  <sheetPr codeName="Sheet29">
    <tabColor rgb="FFC00000"/>
  </sheetPr>
  <dimension ref="A1:AP54"/>
  <sheetViews>
    <sheetView showGridLines="0" showRowColHeaders="0" zoomScaleNormal="100" workbookViewId="0">
      <selection activeCell="H36" sqref="H36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12" t="s">
        <v>271</v>
      </c>
      <c r="B1" s="512"/>
      <c r="C1" s="512"/>
      <c r="D1" s="512"/>
      <c r="E1" s="512"/>
      <c r="F1" s="512"/>
      <c r="G1" s="512"/>
      <c r="H1" s="512"/>
    </row>
    <row r="2" spans="1:8" ht="12.75" customHeight="1" x14ac:dyDescent="0.25"/>
    <row r="3" spans="1:8" ht="18" customHeight="1" x14ac:dyDescent="0.3">
      <c r="B3" s="41"/>
      <c r="C3" s="36"/>
      <c r="D3" s="94" t="s">
        <v>87</v>
      </c>
      <c r="E3" s="96">
        <v>200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86</v>
      </c>
      <c r="E5" s="344">
        <f>E3+E3*E4/100</f>
        <v>200</v>
      </c>
      <c r="F5" s="3"/>
      <c r="G5" s="3"/>
      <c r="H5" s="3"/>
    </row>
    <row r="6" spans="1:8" ht="12.75" customHeight="1" x14ac:dyDescent="0.25">
      <c r="B6" s="12"/>
      <c r="C6" s="200"/>
      <c r="D6" s="200"/>
      <c r="E6" s="200"/>
    </row>
    <row r="7" spans="1:8" ht="18" customHeight="1" thickBot="1" x14ac:dyDescent="0.35">
      <c r="B7" s="201" t="s">
        <v>0</v>
      </c>
      <c r="C7" s="202" t="s">
        <v>268</v>
      </c>
      <c r="D7" s="227" t="s">
        <v>269</v>
      </c>
      <c r="E7" s="228" t="s">
        <v>270</v>
      </c>
      <c r="F7" s="229"/>
      <c r="G7" s="1"/>
      <c r="H7" s="1"/>
    </row>
    <row r="8" spans="1:8" ht="18" customHeight="1" thickTop="1" x14ac:dyDescent="0.3">
      <c r="B8" s="204" t="s">
        <v>11</v>
      </c>
      <c r="C8" s="153">
        <v>0.22</v>
      </c>
      <c r="D8" s="154">
        <v>0.45</v>
      </c>
      <c r="E8" s="153">
        <v>0.33</v>
      </c>
      <c r="F8" s="74">
        <f>SUM(B8,C8,D8,E8)</f>
        <v>1</v>
      </c>
      <c r="G8" s="1"/>
      <c r="H8" s="1"/>
    </row>
    <row r="9" spans="1:8" ht="18.75" hidden="1" customHeight="1" x14ac:dyDescent="0.25">
      <c r="B9" s="205" t="s">
        <v>67</v>
      </c>
      <c r="C9" s="206">
        <v>0.51</v>
      </c>
      <c r="D9" s="230">
        <v>1.03</v>
      </c>
      <c r="E9" s="206">
        <v>1.53</v>
      </c>
      <c r="F9" s="203"/>
    </row>
    <row r="10" spans="1:8" ht="12.75" customHeight="1" x14ac:dyDescent="0.25">
      <c r="B10" s="207" t="s">
        <v>1</v>
      </c>
      <c r="C10" s="208">
        <f>+(E5*C8)/C9</f>
        <v>86.274509803921561</v>
      </c>
      <c r="D10" s="231">
        <f>+(E5*D8)/D9</f>
        <v>87.378640776699029</v>
      </c>
      <c r="E10" s="208">
        <f>+(E5*E8)/E9</f>
        <v>43.13725490196078</v>
      </c>
      <c r="F10" s="203"/>
      <c r="G10" s="490" t="s">
        <v>272</v>
      </c>
      <c r="H10" s="490"/>
    </row>
    <row r="11" spans="1:8" ht="12.75" customHeight="1" x14ac:dyDescent="0.25">
      <c r="B11" s="209" t="s">
        <v>68</v>
      </c>
      <c r="C11" s="206">
        <v>56</v>
      </c>
      <c r="D11" s="230">
        <v>56</v>
      </c>
      <c r="E11" s="206">
        <v>56</v>
      </c>
      <c r="F11" s="232"/>
      <c r="G11" s="490"/>
      <c r="H11" s="490"/>
    </row>
    <row r="12" spans="1:8" ht="12.75" customHeight="1" thickBot="1" x14ac:dyDescent="0.3">
      <c r="B12" s="115" t="s">
        <v>84</v>
      </c>
      <c r="C12" s="409">
        <v>7</v>
      </c>
      <c r="D12" s="410">
        <v>7</v>
      </c>
      <c r="E12" s="393">
        <v>7</v>
      </c>
      <c r="F12" s="232"/>
      <c r="G12" s="490"/>
      <c r="H12" s="490"/>
    </row>
    <row r="13" spans="1:8" ht="18.75" hidden="1" customHeight="1" x14ac:dyDescent="0.25">
      <c r="B13" s="116" t="s">
        <v>64</v>
      </c>
      <c r="C13" s="409">
        <v>7</v>
      </c>
      <c r="D13" s="410">
        <v>7</v>
      </c>
      <c r="E13" s="105">
        <v>7</v>
      </c>
      <c r="F13" s="232"/>
      <c r="G13" s="490"/>
      <c r="H13" s="490"/>
    </row>
    <row r="14" spans="1:8" ht="18.75" hidden="1" customHeight="1" thickBot="1" x14ac:dyDescent="0.3">
      <c r="B14" s="116" t="s">
        <v>65</v>
      </c>
      <c r="C14" s="411">
        <v>7</v>
      </c>
      <c r="D14" s="412">
        <v>7</v>
      </c>
      <c r="E14" s="105">
        <v>7</v>
      </c>
      <c r="F14" s="232"/>
      <c r="G14" s="490"/>
      <c r="H14" s="490"/>
    </row>
    <row r="15" spans="1:8" ht="18" customHeight="1" thickBot="1" x14ac:dyDescent="0.3">
      <c r="B15" s="52" t="s">
        <v>69</v>
      </c>
      <c r="C15" s="513">
        <f>MAX(IF(MOD(C10+C13,C11)&lt;=C13,1+ROUNDDOWN(C10/C11,0),ROUNDDOWN(C10/C11,0)), IF(MOD(D10+D13,D11)&lt;=D13,1+ROUNDDOWN(D10/D11,0),ROUNDDOWN(D10/D11,0)))</f>
        <v>1</v>
      </c>
      <c r="D15" s="514"/>
      <c r="E15" s="65">
        <f>IF(MOD(E10+E13,E11)&lt;=E13,1+ROUNDDOWN(E10/E11,0),ROUNDDOWN(E10/E11,0))</f>
        <v>0</v>
      </c>
      <c r="F15" s="232"/>
      <c r="G15" s="490"/>
      <c r="H15" s="490"/>
    </row>
    <row r="16" spans="1:8" ht="18" customHeight="1" thickBot="1" x14ac:dyDescent="0.3">
      <c r="B16" s="139" t="s">
        <v>85</v>
      </c>
      <c r="C16" s="119">
        <f>IF(ROUNDUP((C10-(C11*C15))/C12,0)&lt;0,0,ROUNDUP((C10-(C11*C15))/C12,0))</f>
        <v>5</v>
      </c>
      <c r="D16" s="119">
        <f>IF(ROUNDUP((D10-(D11*C15))/C12,0)&lt;0,0,ROUNDUP((D10-(D11*C15))/C12,0))</f>
        <v>5</v>
      </c>
      <c r="E16" s="119">
        <f>IF(ROUNDUP((E10-(E11*E15))/E12,0)&lt;0,0,ROUNDUP((E10-(E11*E15))/E12,0))</f>
        <v>7</v>
      </c>
      <c r="F16" s="232"/>
      <c r="G16" s="155"/>
      <c r="H16" s="155"/>
    </row>
    <row r="17" spans="1:42" ht="18" customHeight="1" x14ac:dyDescent="0.25">
      <c r="B17" s="140" t="s">
        <v>66</v>
      </c>
      <c r="C17" s="123">
        <f>(C15*C11)+IF(OR(C16=3,C16=8,C16=13),(ROUNDUP(C16*0.67,0)*C13)+(ROUNDDOWN(C16*0.31,0)*C14),(ROUNDUP(C16*0.6,0)*C13)+(ROUNDDOWN(C16*0.4,0)*C14))</f>
        <v>91</v>
      </c>
      <c r="D17" s="123">
        <f>(C15*D11)+(ROUNDUP(C16/2,0)*C13)+(ROUNDDOWN(C16/2,0)*C14)</f>
        <v>91</v>
      </c>
      <c r="E17" s="123">
        <f>(E15*E11)+(ROUNDUP(E16/2,0)*E13)+(ROUNDDOWN(E16/2,0)*E14)</f>
        <v>49</v>
      </c>
      <c r="F17" s="232"/>
      <c r="G17" s="155"/>
      <c r="H17" s="155"/>
    </row>
    <row r="18" spans="1:42" ht="12.75" customHeight="1" x14ac:dyDescent="0.25">
      <c r="B18" s="143" t="s">
        <v>71</v>
      </c>
      <c r="C18" s="515">
        <v>3342</v>
      </c>
      <c r="D18" s="515"/>
      <c r="E18" s="78">
        <v>3446</v>
      </c>
      <c r="F18" s="203"/>
      <c r="G18" s="156"/>
      <c r="H18" s="156"/>
    </row>
    <row r="19" spans="1:42" ht="12.75" customHeight="1" x14ac:dyDescent="0.25">
      <c r="B19" s="217" t="s">
        <v>70</v>
      </c>
      <c r="C19" s="236">
        <v>18.7</v>
      </c>
      <c r="D19" s="236">
        <v>41</v>
      </c>
      <c r="E19" s="236">
        <v>61.5</v>
      </c>
      <c r="F19" s="203"/>
      <c r="G19" s="156"/>
      <c r="H19" s="156"/>
    </row>
    <row r="20" spans="1:42" ht="12.75" hidden="1" customHeight="1" x14ac:dyDescent="0.25">
      <c r="B20" s="219" t="s">
        <v>72</v>
      </c>
      <c r="C20" s="78">
        <f>+C17*C9</f>
        <v>46.410000000000004</v>
      </c>
      <c r="D20" s="78">
        <f>+D17*D9</f>
        <v>93.73</v>
      </c>
      <c r="E20" s="78">
        <f>+E17*E9</f>
        <v>74.97</v>
      </c>
      <c r="F20" s="203"/>
      <c r="G20" s="156"/>
      <c r="H20" s="156"/>
    </row>
    <row r="21" spans="1:42" ht="12.75" hidden="1" customHeight="1" x14ac:dyDescent="0.25">
      <c r="B21" s="262"/>
      <c r="C21" s="215"/>
      <c r="D21" s="215"/>
      <c r="E21" s="215"/>
      <c r="F21" s="203"/>
      <c r="G21" s="155"/>
      <c r="H21" s="155"/>
    </row>
    <row r="22" spans="1:42" ht="12.75" hidden="1" customHeight="1" x14ac:dyDescent="0.25">
      <c r="B22" s="77"/>
      <c r="C22" s="215"/>
      <c r="D22" s="215"/>
      <c r="E22" s="215"/>
      <c r="F22" s="203"/>
    </row>
    <row r="23" spans="1:42" ht="12.75" customHeight="1" x14ac:dyDescent="0.25">
      <c r="B23" s="261"/>
      <c r="C23" s="215"/>
      <c r="D23" s="215"/>
      <c r="E23" s="215"/>
      <c r="F23" s="203"/>
    </row>
    <row r="24" spans="1:42" ht="12.75" customHeight="1" x14ac:dyDescent="0.25">
      <c r="B24" s="86" t="s">
        <v>89</v>
      </c>
      <c r="C24" s="215"/>
      <c r="D24" s="215"/>
      <c r="E24" s="215"/>
      <c r="F24" s="203"/>
    </row>
    <row r="25" spans="1:42" ht="12.75" customHeight="1" x14ac:dyDescent="0.25">
      <c r="B25" s="87" t="s">
        <v>50</v>
      </c>
      <c r="C25" s="215"/>
      <c r="D25" s="215"/>
      <c r="E25" s="215"/>
      <c r="F25" s="203"/>
    </row>
    <row r="26" spans="1:42" ht="18" customHeight="1" x14ac:dyDescent="0.25">
      <c r="A26" s="46"/>
      <c r="B26" s="46"/>
      <c r="C26" s="233" t="s">
        <v>93</v>
      </c>
      <c r="D26" s="234">
        <f>SUM(C20:E20)</f>
        <v>215.11</v>
      </c>
      <c r="E26" s="235" t="s">
        <v>282</v>
      </c>
      <c r="F26" s="46"/>
      <c r="G26" s="46"/>
      <c r="H26" s="46"/>
    </row>
    <row r="27" spans="1:42" ht="18" customHeight="1" x14ac:dyDescent="0.25">
      <c r="A27" s="35"/>
      <c r="B27" s="35"/>
      <c r="C27" s="220" t="s">
        <v>95</v>
      </c>
      <c r="D27" s="70">
        <f>ROUND(+D26/35,0)</f>
        <v>6</v>
      </c>
      <c r="E27" s="226" t="s">
        <v>4</v>
      </c>
      <c r="F27" s="35"/>
      <c r="G27" s="35"/>
      <c r="H27" s="35"/>
    </row>
    <row r="28" spans="1:42" ht="12.75" customHeight="1" x14ac:dyDescent="0.25">
      <c r="A28" s="39"/>
      <c r="B28" s="487" t="s">
        <v>8</v>
      </c>
      <c r="C28" s="487"/>
      <c r="D28" s="487"/>
      <c r="E28" s="487"/>
      <c r="F28" s="487"/>
      <c r="G28" s="487"/>
      <c r="H28" s="35"/>
    </row>
    <row r="29" spans="1:42" ht="18" customHeight="1" x14ac:dyDescent="0.25">
      <c r="A29" s="46"/>
      <c r="B29" s="46"/>
      <c r="C29" s="233" t="s">
        <v>96</v>
      </c>
      <c r="D29" s="234">
        <f>SUM(C17*C19+D17*D19+E17*E19)</f>
        <v>8446.2000000000007</v>
      </c>
      <c r="E29" s="235" t="s">
        <v>3</v>
      </c>
      <c r="F29" s="46"/>
      <c r="G29" s="46"/>
      <c r="H29" s="46"/>
    </row>
    <row r="30" spans="1:42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spans="1:42" s="17" customForma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spans="1:42" s="17" customForma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spans="1:42" s="17" customFormat="1" ht="17.399999999999999" x14ac:dyDescent="0.25">
      <c r="A33" s="23"/>
      <c r="B33" s="23"/>
      <c r="C33" s="23"/>
      <c r="D33" s="23"/>
      <c r="E33" s="23"/>
      <c r="F33" s="23"/>
      <c r="G33" s="23"/>
      <c r="H33" s="223" t="s">
        <v>9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spans="1:42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1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spans="1:42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24" t="s">
        <v>56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spans="1:42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55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spans="1:42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246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spans="1:42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6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spans="1:42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199" t="s">
        <v>59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spans="1:42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199" t="s">
        <v>10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</row>
    <row r="41" spans="1:42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25" t="s">
        <v>7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</row>
    <row r="42" spans="1:42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</row>
    <row r="43" spans="1:42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</row>
    <row r="44" spans="1:42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spans="1:42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spans="1:42" s="17" customFormat="1" ht="21" customHeight="1" x14ac:dyDescent="0.3">
      <c r="A46" s="23"/>
      <c r="B46" s="15" t="s">
        <v>16</v>
      </c>
      <c r="C46" s="114"/>
      <c r="D46" s="114"/>
      <c r="E46" s="114"/>
      <c r="F46" s="114"/>
      <c r="G46" s="114"/>
      <c r="H46" s="11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spans="1:42" s="17" customFormat="1" ht="21" customHeight="1" x14ac:dyDescent="0.25">
      <c r="A47" s="23"/>
      <c r="B47" s="13"/>
      <c r="C47" s="112"/>
      <c r="D47" s="112"/>
      <c r="E47" s="112"/>
      <c r="F47" s="112"/>
      <c r="G47" s="112"/>
      <c r="H47" s="112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spans="1:42" s="17" customFormat="1" ht="21" customHeight="1" x14ac:dyDescent="0.25">
      <c r="A48" s="23"/>
      <c r="B48" s="11"/>
      <c r="C48" s="112"/>
      <c r="D48" s="112"/>
      <c r="E48" s="112"/>
      <c r="F48" s="112"/>
      <c r="G48" s="112"/>
      <c r="H48" s="112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spans="1:42" s="17" customFormat="1" ht="12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spans="1:42" ht="12.75" customHeight="1" x14ac:dyDescent="0.25"/>
    <row r="51" spans="1:42" ht="12.75" customHeight="1" x14ac:dyDescent="0.25"/>
    <row r="52" spans="1:42" ht="12.75" customHeight="1" x14ac:dyDescent="0.25"/>
    <row r="53" spans="1:42" ht="12.75" customHeight="1" x14ac:dyDescent="0.25"/>
    <row r="54" spans="1:42" ht="12.75" customHeight="1" x14ac:dyDescent="0.25"/>
  </sheetData>
  <sheetProtection algorithmName="SHA-512" hashValue="Tf2VoqBP1VqgsSGxLLrGpKrUHkB+FeSVsG79sMafzEFrytn9Nw2jhT3E+qUPhWNhbxtEjJt81I9mwr4huq2MhQ==" saltValue="vlXyXseOUrHk5xc53is0Vg==" spinCount="100000" sheet="1" selectLockedCells="1"/>
  <mergeCells count="5">
    <mergeCell ref="A1:H1"/>
    <mergeCell ref="G10:H15"/>
    <mergeCell ref="B28:G28"/>
    <mergeCell ref="C15:D15"/>
    <mergeCell ref="C18:D18"/>
  </mergeCells>
  <dataValidations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7705349C-7C15-4111-9B48-5F596E8C82D5}"/>
  </dataValidations>
  <hyperlinks>
    <hyperlink ref="H40" r:id="rId1" xr:uid="{5B47B537-3605-4DB4-9950-2383EB4A0950}"/>
    <hyperlink ref="H39" r:id="rId2" xr:uid="{9C0A4153-AAEF-48C9-97B4-8828C29E7FDC}"/>
    <hyperlink ref="H38" r:id="rId3" xr:uid="{5E896DFB-5BA2-408A-A2E5-B8C3CE866EAA}"/>
    <hyperlink ref="H36" r:id="rId4" xr:uid="{4B2F857D-2473-48AF-B940-7E5FF95A4D23}"/>
  </hyperlinks>
  <pageMargins left="0.75" right="0.75" top="1" bottom="1" header="0.5" footer="0.5"/>
  <pageSetup fitToWidth="0" fitToHeight="0" orientation="portrait" r:id="rId5"/>
  <headerFooter alignWithMargins="0"/>
  <drawing r:id="rId6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9ABBB-8295-4D3C-A8F4-7F70A33A2D3F}">
  <sheetPr codeName="Sheet30">
    <tabColor rgb="FFC00000"/>
  </sheetPr>
  <dimension ref="A1:AP54"/>
  <sheetViews>
    <sheetView showGridLines="0" showRowColHeaders="0" zoomScaleNormal="100" workbookViewId="0">
      <selection activeCell="H36" sqref="H36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12" t="s">
        <v>278</v>
      </c>
      <c r="B1" s="512"/>
      <c r="C1" s="512"/>
      <c r="D1" s="512"/>
      <c r="E1" s="512"/>
      <c r="F1" s="512"/>
      <c r="G1" s="512"/>
      <c r="H1" s="512"/>
    </row>
    <row r="2" spans="1:8" ht="12.75" customHeight="1" x14ac:dyDescent="0.25"/>
    <row r="3" spans="1:8" ht="18" customHeight="1" x14ac:dyDescent="0.3">
      <c r="B3" s="41"/>
      <c r="C3" s="36"/>
      <c r="D3" s="94" t="s">
        <v>87</v>
      </c>
      <c r="E3" s="96">
        <v>200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86</v>
      </c>
      <c r="E5" s="344">
        <f>E3+E3*E4/100</f>
        <v>200</v>
      </c>
      <c r="F5" s="3"/>
      <c r="G5" s="3"/>
      <c r="H5" s="3"/>
    </row>
    <row r="6" spans="1:8" ht="12.75" customHeight="1" x14ac:dyDescent="0.25">
      <c r="B6" s="12"/>
      <c r="C6" s="200"/>
      <c r="D6" s="200"/>
      <c r="E6" s="200"/>
    </row>
    <row r="7" spans="1:8" ht="18" customHeight="1" thickBot="1" x14ac:dyDescent="0.35">
      <c r="B7" s="201" t="s">
        <v>0</v>
      </c>
      <c r="C7" s="202" t="s">
        <v>268</v>
      </c>
      <c r="D7" s="227" t="s">
        <v>269</v>
      </c>
      <c r="E7" s="228" t="s">
        <v>270</v>
      </c>
      <c r="F7" s="229"/>
      <c r="G7" s="1"/>
      <c r="H7" s="1"/>
    </row>
    <row r="8" spans="1:8" ht="18" customHeight="1" thickTop="1" x14ac:dyDescent="0.3">
      <c r="B8" s="204" t="s">
        <v>11</v>
      </c>
      <c r="C8" s="153">
        <v>0.17</v>
      </c>
      <c r="D8" s="154">
        <v>0.33</v>
      </c>
      <c r="E8" s="153">
        <v>0.5</v>
      </c>
      <c r="F8" s="74">
        <f>SUM(B8,C8,D8,E8)</f>
        <v>1</v>
      </c>
      <c r="G8" s="1"/>
      <c r="H8" s="1"/>
    </row>
    <row r="9" spans="1:8" ht="18.75" hidden="1" customHeight="1" x14ac:dyDescent="0.25">
      <c r="B9" s="205" t="s">
        <v>67</v>
      </c>
      <c r="C9" s="206">
        <v>0.51</v>
      </c>
      <c r="D9" s="230">
        <v>1.03</v>
      </c>
      <c r="E9" s="206">
        <v>1.53</v>
      </c>
      <c r="F9" s="203"/>
    </row>
    <row r="10" spans="1:8" ht="12.75" customHeight="1" x14ac:dyDescent="0.25">
      <c r="B10" s="207" t="s">
        <v>1</v>
      </c>
      <c r="C10" s="208">
        <f>+(E5*C8)/C9</f>
        <v>66.666666666666671</v>
      </c>
      <c r="D10" s="231">
        <f>+(E5*D8)/D9</f>
        <v>64.077669902912618</v>
      </c>
      <c r="E10" s="208">
        <f>+(E5*E8)/E9</f>
        <v>65.359477124183002</v>
      </c>
      <c r="F10" s="203"/>
      <c r="G10" s="490" t="s">
        <v>272</v>
      </c>
      <c r="H10" s="490"/>
    </row>
    <row r="11" spans="1:8" ht="12.75" customHeight="1" x14ac:dyDescent="0.25">
      <c r="B11" s="209" t="s">
        <v>68</v>
      </c>
      <c r="C11" s="62">
        <v>56</v>
      </c>
      <c r="D11" s="413">
        <v>56</v>
      </c>
      <c r="E11" s="206">
        <v>56</v>
      </c>
      <c r="F11" s="232"/>
      <c r="G11" s="490"/>
      <c r="H11" s="490"/>
    </row>
    <row r="12" spans="1:8" ht="12.75" customHeight="1" thickBot="1" x14ac:dyDescent="0.3">
      <c r="B12" s="115" t="s">
        <v>84</v>
      </c>
      <c r="C12" s="409">
        <v>7</v>
      </c>
      <c r="D12" s="414">
        <v>7</v>
      </c>
      <c r="E12" s="105">
        <v>7</v>
      </c>
      <c r="F12" s="232"/>
      <c r="G12" s="490"/>
      <c r="H12" s="490"/>
    </row>
    <row r="13" spans="1:8" ht="18.75" hidden="1" customHeight="1" x14ac:dyDescent="0.25">
      <c r="B13" s="116" t="s">
        <v>64</v>
      </c>
      <c r="C13" s="403">
        <v>7</v>
      </c>
      <c r="D13" s="318">
        <v>7</v>
      </c>
      <c r="E13" s="105">
        <v>7</v>
      </c>
      <c r="F13" s="232"/>
      <c r="G13" s="490"/>
      <c r="H13" s="490"/>
    </row>
    <row r="14" spans="1:8" ht="18.75" hidden="1" customHeight="1" thickBot="1" x14ac:dyDescent="0.3">
      <c r="B14" s="116" t="s">
        <v>65</v>
      </c>
      <c r="C14" s="404">
        <v>7</v>
      </c>
      <c r="D14" s="405">
        <v>7</v>
      </c>
      <c r="E14" s="105">
        <v>7</v>
      </c>
      <c r="F14" s="232"/>
      <c r="G14" s="490"/>
      <c r="H14" s="490"/>
    </row>
    <row r="15" spans="1:8" ht="18" customHeight="1" thickBot="1" x14ac:dyDescent="0.3">
      <c r="B15" s="52" t="s">
        <v>69</v>
      </c>
      <c r="C15" s="513">
        <f>MAX(IF(MOD(C10+C13,C11)&lt;=C13,1+ROUNDDOWN(C10/C11,0),ROUNDDOWN(C10/C11,0)), IF(MOD(D10+D13,D11)&lt;=D13,1+ROUNDDOWN(D10/D11,0),ROUNDDOWN(D10/D11,0)))</f>
        <v>1</v>
      </c>
      <c r="D15" s="514"/>
      <c r="E15" s="65">
        <f>IF(MOD(E10+E13,E11)&lt;=E13,1+ROUNDDOWN(E10/E11,0),ROUNDDOWN(E10/E11,0))</f>
        <v>1</v>
      </c>
      <c r="F15" s="232"/>
      <c r="G15" s="490"/>
      <c r="H15" s="490"/>
    </row>
    <row r="16" spans="1:8" ht="18" customHeight="1" thickBot="1" x14ac:dyDescent="0.3">
      <c r="B16" s="139" t="s">
        <v>85</v>
      </c>
      <c r="C16" s="119">
        <f>IF(ROUNDUP((C10-(C11*C15))/C12,0)&lt;0,0,ROUNDUP((C10-(C11*C15))/C12,0))</f>
        <v>2</v>
      </c>
      <c r="D16" s="119">
        <f>IF(ROUNDUP((D10-(D11*C15))/C12,0)&lt;0,0,ROUNDUP((D10-(D11*C15))/C12,0))</f>
        <v>2</v>
      </c>
      <c r="E16" s="119">
        <f>IF(ROUNDUP((E10-(E11*E15))/E12,0)&lt;0,0,ROUNDUP((E10-(E11*E15))/E12,0))</f>
        <v>2</v>
      </c>
      <c r="F16" s="232"/>
      <c r="G16" s="155"/>
      <c r="H16" s="155"/>
    </row>
    <row r="17" spans="1:42" ht="18" customHeight="1" x14ac:dyDescent="0.25">
      <c r="B17" s="140" t="s">
        <v>66</v>
      </c>
      <c r="C17" s="123">
        <f>(C15*C11)+IF(OR(C16=3,C16=8,C16=13),(ROUNDUP(C16*0.67,0)*C13)+(ROUNDDOWN(C16*0.31,0)*C14),(ROUNDUP(C16*0.6,0)*C13)+(ROUNDDOWN(C16*0.4,0)*C14))</f>
        <v>70</v>
      </c>
      <c r="D17" s="123">
        <f>(C15*D11)+(ROUNDUP(C16/2,0)*C13)+(ROUNDDOWN(C16/2,0)*C14)</f>
        <v>70</v>
      </c>
      <c r="E17" s="123">
        <f>(E15*E11)+(ROUNDUP(E16/2,0)*E13)+(ROUNDDOWN(E16/2,0)*E14)</f>
        <v>70</v>
      </c>
      <c r="F17" s="232"/>
      <c r="G17" s="155"/>
      <c r="H17" s="155"/>
    </row>
    <row r="18" spans="1:42" ht="12.75" customHeight="1" x14ac:dyDescent="0.25">
      <c r="B18" s="143" t="s">
        <v>71</v>
      </c>
      <c r="C18" s="515">
        <v>3342</v>
      </c>
      <c r="D18" s="515"/>
      <c r="E18" s="78">
        <v>3446</v>
      </c>
      <c r="F18" s="203"/>
      <c r="G18" s="156"/>
      <c r="H18" s="156"/>
    </row>
    <row r="19" spans="1:42" ht="12.75" customHeight="1" x14ac:dyDescent="0.25">
      <c r="B19" s="217" t="s">
        <v>70</v>
      </c>
      <c r="C19" s="236">
        <v>18.7</v>
      </c>
      <c r="D19" s="236">
        <v>41</v>
      </c>
      <c r="E19" s="236">
        <v>61.5</v>
      </c>
      <c r="F19" s="203"/>
      <c r="G19" s="156"/>
      <c r="H19" s="156"/>
    </row>
    <row r="20" spans="1:42" ht="12.75" hidden="1" customHeight="1" x14ac:dyDescent="0.25">
      <c r="B20" s="219" t="s">
        <v>72</v>
      </c>
      <c r="C20" s="78">
        <f>+C17*C9</f>
        <v>35.700000000000003</v>
      </c>
      <c r="D20" s="78">
        <f>+D17*D9</f>
        <v>72.100000000000009</v>
      </c>
      <c r="E20" s="78">
        <f>+E17*E9</f>
        <v>107.10000000000001</v>
      </c>
      <c r="F20" s="203"/>
      <c r="G20" s="156"/>
      <c r="H20" s="156"/>
    </row>
    <row r="21" spans="1:42" ht="12.75" hidden="1" customHeight="1" x14ac:dyDescent="0.25">
      <c r="B21" s="262"/>
      <c r="C21" s="215"/>
      <c r="D21" s="215"/>
      <c r="E21" s="215"/>
      <c r="F21" s="203"/>
      <c r="G21" s="155"/>
      <c r="H21" s="155"/>
    </row>
    <row r="22" spans="1:42" ht="12.75" hidden="1" customHeight="1" x14ac:dyDescent="0.25">
      <c r="B22" s="77"/>
      <c r="C22" s="215"/>
      <c r="D22" s="215"/>
      <c r="E22" s="215"/>
      <c r="F22" s="203"/>
    </row>
    <row r="23" spans="1:42" ht="12.75" customHeight="1" x14ac:dyDescent="0.25">
      <c r="B23" s="261"/>
      <c r="C23" s="215"/>
      <c r="D23" s="215"/>
      <c r="E23" s="215"/>
      <c r="F23" s="203"/>
    </row>
    <row r="24" spans="1:42" ht="12.75" customHeight="1" x14ac:dyDescent="0.25">
      <c r="B24" s="86" t="s">
        <v>89</v>
      </c>
      <c r="C24" s="215"/>
      <c r="D24" s="215"/>
      <c r="E24" s="215"/>
      <c r="F24" s="203"/>
    </row>
    <row r="25" spans="1:42" ht="12.75" customHeight="1" x14ac:dyDescent="0.25">
      <c r="B25" s="87" t="s">
        <v>50</v>
      </c>
      <c r="C25" s="215"/>
      <c r="D25" s="215"/>
      <c r="E25" s="215"/>
      <c r="F25" s="203"/>
    </row>
    <row r="26" spans="1:42" ht="18" customHeight="1" x14ac:dyDescent="0.25">
      <c r="A26" s="46"/>
      <c r="B26" s="46"/>
      <c r="C26" s="233" t="s">
        <v>93</v>
      </c>
      <c r="D26" s="234">
        <f>SUM(C20:E20)</f>
        <v>214.90000000000003</v>
      </c>
      <c r="E26" s="235" t="s">
        <v>282</v>
      </c>
      <c r="F26" s="46"/>
      <c r="G26" s="46"/>
      <c r="H26" s="46"/>
    </row>
    <row r="27" spans="1:42" ht="18" customHeight="1" x14ac:dyDescent="0.25">
      <c r="A27" s="35"/>
      <c r="B27" s="35"/>
      <c r="C27" s="220" t="s">
        <v>95</v>
      </c>
      <c r="D27" s="70">
        <f>ROUND(+D26/35,0)</f>
        <v>6</v>
      </c>
      <c r="E27" s="226" t="s">
        <v>4</v>
      </c>
      <c r="F27" s="35"/>
      <c r="G27" s="35"/>
      <c r="H27" s="35"/>
    </row>
    <row r="28" spans="1:42" ht="12.75" customHeight="1" x14ac:dyDescent="0.25">
      <c r="A28" s="39"/>
      <c r="B28" s="487" t="s">
        <v>8</v>
      </c>
      <c r="C28" s="487"/>
      <c r="D28" s="487"/>
      <c r="E28" s="487"/>
      <c r="F28" s="487"/>
      <c r="G28" s="487"/>
      <c r="H28" s="35"/>
    </row>
    <row r="29" spans="1:42" ht="18" customHeight="1" x14ac:dyDescent="0.25">
      <c r="A29" s="46"/>
      <c r="B29" s="46"/>
      <c r="C29" s="233" t="s">
        <v>96</v>
      </c>
      <c r="D29" s="234">
        <f>SUM(C17*C19+D17*D19+E17*E19)</f>
        <v>8484</v>
      </c>
      <c r="E29" s="235" t="s">
        <v>3</v>
      </c>
      <c r="F29" s="46"/>
      <c r="G29" s="46"/>
      <c r="H29" s="46"/>
    </row>
    <row r="30" spans="1:42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spans="1:42" s="17" customForma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spans="1:42" s="17" customForma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spans="1:42" s="17" customFormat="1" ht="17.399999999999999" x14ac:dyDescent="0.25">
      <c r="A33" s="23"/>
      <c r="B33" s="23"/>
      <c r="C33" s="23"/>
      <c r="D33" s="23"/>
      <c r="E33" s="23"/>
      <c r="F33" s="23"/>
      <c r="G33" s="23"/>
      <c r="H33" s="223" t="s">
        <v>9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spans="1:42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1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spans="1:42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24" t="s">
        <v>56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spans="1:42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55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spans="1:42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246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spans="1:42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6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spans="1:42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199" t="s">
        <v>59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spans="1:42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199" t="s">
        <v>10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</row>
    <row r="41" spans="1:42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25" t="s">
        <v>7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</row>
    <row r="42" spans="1:42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</row>
    <row r="43" spans="1:42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</row>
    <row r="44" spans="1:42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spans="1:42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spans="1:42" s="17" customFormat="1" ht="21" customHeight="1" x14ac:dyDescent="0.3">
      <c r="A46" s="23"/>
      <c r="B46" s="15" t="s">
        <v>16</v>
      </c>
      <c r="C46" s="114"/>
      <c r="D46" s="114"/>
      <c r="E46" s="114"/>
      <c r="F46" s="114"/>
      <c r="G46" s="114"/>
      <c r="H46" s="11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spans="1:42" s="17" customFormat="1" ht="21" customHeight="1" x14ac:dyDescent="0.25">
      <c r="A47" s="23"/>
      <c r="B47" s="13"/>
      <c r="C47" s="112"/>
      <c r="D47" s="112"/>
      <c r="E47" s="112"/>
      <c r="F47" s="112"/>
      <c r="G47" s="112"/>
      <c r="H47" s="112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spans="1:42" s="17" customFormat="1" ht="21" customHeight="1" x14ac:dyDescent="0.25">
      <c r="A48" s="23"/>
      <c r="B48" s="11"/>
      <c r="C48" s="112"/>
      <c r="D48" s="112"/>
      <c r="E48" s="112"/>
      <c r="F48" s="112"/>
      <c r="G48" s="112"/>
      <c r="H48" s="112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spans="1:42" s="17" customFormat="1" ht="12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spans="1:42" ht="12.75" customHeight="1" x14ac:dyDescent="0.25"/>
    <row r="51" spans="1:42" ht="12.75" customHeight="1" x14ac:dyDescent="0.25"/>
    <row r="52" spans="1:42" ht="12.75" customHeight="1" x14ac:dyDescent="0.25"/>
    <row r="53" spans="1:42" ht="12.75" customHeight="1" x14ac:dyDescent="0.25"/>
    <row r="54" spans="1:42" ht="12.75" customHeight="1" x14ac:dyDescent="0.25"/>
  </sheetData>
  <sheetProtection algorithmName="SHA-512" hashValue="uOORwdim4NTsFmc97cGMYwcGi4jc78rR4mwkeUPA2Syhr1HIGGvsPL7/tdYcsaZYZwVIdsOd4C+Kn2PM87IuCA==" saltValue="73SNLacNHsg/td0EEuMQvg==" spinCount="100000" sheet="1" selectLockedCells="1"/>
  <mergeCells count="5">
    <mergeCell ref="A1:H1"/>
    <mergeCell ref="G10:H15"/>
    <mergeCell ref="B28:G28"/>
    <mergeCell ref="C15:D15"/>
    <mergeCell ref="C18:D18"/>
  </mergeCells>
  <dataValidations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CF2BE1CC-4D0E-416B-A3A6-E733F92AB40E}"/>
  </dataValidations>
  <hyperlinks>
    <hyperlink ref="H40" r:id="rId1" xr:uid="{C27CC489-D466-4570-B0B7-1BD743377870}"/>
    <hyperlink ref="H39" r:id="rId2" xr:uid="{74632557-CFE9-4A21-BB80-DC54C61E4A45}"/>
    <hyperlink ref="H38" r:id="rId3" xr:uid="{7082C042-00E2-46D6-B661-C3DFCA78BB24}"/>
    <hyperlink ref="H36" r:id="rId4" xr:uid="{572D9A0F-AAE3-4451-A52C-5574155086D4}"/>
  </hyperlinks>
  <pageMargins left="0.75" right="0.75" top="1" bottom="1" header="0.5" footer="0.5"/>
  <pageSetup fitToWidth="0" fitToHeight="0" orientation="portrait" r:id="rId5"/>
  <headerFooter alignWithMargins="0"/>
  <drawing r:id="rId6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7">
    <tabColor rgb="FFC00000"/>
  </sheetPr>
  <dimension ref="A1:BT48"/>
  <sheetViews>
    <sheetView showGridLines="0" showRowColHeaders="0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12" t="s">
        <v>203</v>
      </c>
      <c r="B1" s="512"/>
      <c r="C1" s="512"/>
      <c r="D1" s="512"/>
      <c r="E1" s="512"/>
      <c r="F1" s="512"/>
      <c r="G1" s="512"/>
      <c r="H1" s="512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148" t="s">
        <v>5</v>
      </c>
      <c r="C3" s="149"/>
      <c r="D3" s="150"/>
      <c r="E3" s="96">
        <v>200</v>
      </c>
      <c r="F3" s="2"/>
      <c r="G3" s="2"/>
      <c r="H3" s="3"/>
    </row>
    <row r="4" spans="1:8" ht="18" customHeight="1" x14ac:dyDescent="0.3">
      <c r="A4" s="22"/>
      <c r="B4" s="151"/>
      <c r="C4" s="149"/>
      <c r="D4" s="95" t="s">
        <v>13</v>
      </c>
      <c r="E4" s="97">
        <v>0</v>
      </c>
      <c r="F4" s="2"/>
      <c r="G4" s="2"/>
      <c r="H4" s="3"/>
    </row>
    <row r="5" spans="1:8" ht="18" customHeight="1" x14ac:dyDescent="0.3">
      <c r="A5" s="22"/>
      <c r="B5" s="151"/>
      <c r="C5" s="149"/>
      <c r="D5" s="95" t="s">
        <v>86</v>
      </c>
      <c r="E5" s="344">
        <f>E3+E3*E4/100</f>
        <v>200</v>
      </c>
      <c r="F5" s="2"/>
      <c r="G5" s="2"/>
      <c r="H5" s="3"/>
    </row>
    <row r="6" spans="1:8" ht="12.75" customHeight="1" x14ac:dyDescent="0.25">
      <c r="A6" s="22"/>
      <c r="B6" s="9"/>
      <c r="C6" s="22"/>
      <c r="D6" s="22"/>
      <c r="E6" s="22"/>
      <c r="F6" s="22"/>
      <c r="G6" s="22"/>
    </row>
    <row r="7" spans="1:8" ht="18" customHeight="1" thickBot="1" x14ac:dyDescent="0.35">
      <c r="A7" s="7"/>
      <c r="B7" s="100" t="s">
        <v>0</v>
      </c>
      <c r="C7" s="453" t="s">
        <v>301</v>
      </c>
      <c r="D7" s="456" t="s">
        <v>302</v>
      </c>
      <c r="E7" s="247"/>
      <c r="F7" s="253"/>
      <c r="G7" s="253"/>
      <c r="H7" s="1"/>
    </row>
    <row r="8" spans="1:8" ht="18" customHeight="1" thickTop="1" x14ac:dyDescent="0.3">
      <c r="A8" s="22"/>
      <c r="B8" s="103" t="s">
        <v>11</v>
      </c>
      <c r="C8" s="88">
        <v>0.6</v>
      </c>
      <c r="D8" s="89">
        <v>0.4</v>
      </c>
      <c r="E8" s="74">
        <f>SUM(A8,B8,C8,D8)</f>
        <v>1</v>
      </c>
      <c r="F8" s="254"/>
      <c r="G8" s="254"/>
      <c r="H8" s="1"/>
    </row>
    <row r="9" spans="1:8" ht="18.75" hidden="1" customHeight="1" x14ac:dyDescent="0.25">
      <c r="A9" s="22"/>
      <c r="B9" s="51" t="s">
        <v>67</v>
      </c>
      <c r="C9" s="104">
        <v>0.45</v>
      </c>
      <c r="D9" s="105">
        <v>1.19</v>
      </c>
      <c r="E9" s="248"/>
      <c r="F9" s="161"/>
      <c r="G9" s="161"/>
    </row>
    <row r="10" spans="1:8" ht="12.75" customHeight="1" x14ac:dyDescent="0.25">
      <c r="A10" s="22"/>
      <c r="B10" s="50" t="s">
        <v>1</v>
      </c>
      <c r="C10" s="106">
        <f>+($E$5*C8)/C9</f>
        <v>266.66666666666669</v>
      </c>
      <c r="D10" s="107">
        <f>+($E$5*D8)/D9</f>
        <v>67.226890756302524</v>
      </c>
      <c r="E10" s="249"/>
      <c r="F10" s="255"/>
      <c r="G10" s="490" t="s">
        <v>204</v>
      </c>
      <c r="H10" s="490"/>
    </row>
    <row r="11" spans="1:8" ht="12.75" customHeight="1" x14ac:dyDescent="0.25">
      <c r="A11" s="22"/>
      <c r="B11" s="51" t="s">
        <v>68</v>
      </c>
      <c r="C11" s="104">
        <v>180</v>
      </c>
      <c r="D11" s="105">
        <v>78</v>
      </c>
      <c r="E11" s="248"/>
      <c r="F11" s="161"/>
      <c r="G11" s="490"/>
      <c r="H11" s="490"/>
    </row>
    <row r="12" spans="1:8" ht="12.75" customHeight="1" thickBot="1" x14ac:dyDescent="0.3">
      <c r="A12" s="22"/>
      <c r="B12" s="115" t="s">
        <v>84</v>
      </c>
      <c r="C12" s="138">
        <v>12</v>
      </c>
      <c r="D12" s="138">
        <v>13</v>
      </c>
      <c r="E12" s="248"/>
      <c r="F12" s="161"/>
      <c r="G12" s="490"/>
      <c r="H12" s="490"/>
    </row>
    <row r="13" spans="1:8" ht="18.75" hidden="1" customHeight="1" x14ac:dyDescent="0.25">
      <c r="A13" s="22"/>
      <c r="B13" s="116" t="s">
        <v>64</v>
      </c>
      <c r="C13" s="138">
        <v>12</v>
      </c>
      <c r="D13" s="138">
        <v>13</v>
      </c>
      <c r="E13" s="248"/>
      <c r="F13" s="161"/>
      <c r="G13" s="490"/>
      <c r="H13" s="490"/>
    </row>
    <row r="14" spans="1:8" ht="18.75" hidden="1" customHeight="1" thickBot="1" x14ac:dyDescent="0.3">
      <c r="A14" s="22"/>
      <c r="B14" s="116" t="s">
        <v>65</v>
      </c>
      <c r="C14" s="138">
        <v>12</v>
      </c>
      <c r="D14" s="138">
        <v>13</v>
      </c>
      <c r="E14" s="248"/>
      <c r="F14" s="161"/>
      <c r="G14" s="490"/>
      <c r="H14" s="490"/>
    </row>
    <row r="15" spans="1:8" ht="18" customHeight="1" thickBot="1" x14ac:dyDescent="0.35">
      <c r="A15" s="22"/>
      <c r="B15" s="52" t="s">
        <v>69</v>
      </c>
      <c r="C15" s="119">
        <f>IF(MOD(C10+C13,C11)&lt;=C13,1+ROUNDDOWN(C10/C11,0),ROUNDDOWN(C10/C11,0))</f>
        <v>1</v>
      </c>
      <c r="D15" s="65">
        <f>IF(MOD(D10+D13,D11)&lt;=D13,1+ROUNDDOWN(D10/D11,0),ROUNDDOWN(D10/D11,0))</f>
        <v>1</v>
      </c>
      <c r="E15" s="250"/>
      <c r="F15" s="256"/>
      <c r="G15" s="490"/>
      <c r="H15" s="490"/>
    </row>
    <row r="16" spans="1:8" ht="18" customHeight="1" thickBot="1" x14ac:dyDescent="0.3">
      <c r="A16" s="22"/>
      <c r="B16" s="139" t="s">
        <v>85</v>
      </c>
      <c r="C16" s="119">
        <f>IF(ROUNDUP((C10-(C11*C15))/C12,0)&lt;0,0,ROUNDUP((C10-(C11*C15))/C12,0))</f>
        <v>8</v>
      </c>
      <c r="D16" s="119">
        <f>IF(ROUNDUP((D10-(D11*D15))/D12,0)&lt;0,0,ROUNDUP((D10-(D11*D15))/D12,0))</f>
        <v>0</v>
      </c>
      <c r="E16" s="251"/>
      <c r="F16" s="516" t="s">
        <v>205</v>
      </c>
      <c r="G16" s="516"/>
      <c r="H16" s="516"/>
    </row>
    <row r="17" spans="1:72" ht="18" customHeight="1" x14ac:dyDescent="0.3">
      <c r="A17" s="22"/>
      <c r="B17" s="140" t="s">
        <v>66</v>
      </c>
      <c r="C17" s="123">
        <f>(C15*C11)+(ROUNDUP(C16/2,0)*C13)+(ROUNDDOWN(C16/2,0)*C14)</f>
        <v>276</v>
      </c>
      <c r="D17" s="123">
        <f>(D15*D11)+(ROUNDUP(D16/2,0)*D13)+(ROUNDDOWN(D16/2,0)*D14)</f>
        <v>78</v>
      </c>
      <c r="E17" s="251"/>
      <c r="F17" s="256"/>
      <c r="G17" s="256"/>
    </row>
    <row r="18" spans="1:72" ht="12.75" customHeight="1" x14ac:dyDescent="0.25">
      <c r="A18" s="22"/>
      <c r="B18" s="143" t="s">
        <v>71</v>
      </c>
      <c r="C18" s="78">
        <f>C11*C19</f>
        <v>2917.2150000000001</v>
      </c>
      <c r="D18" s="78">
        <f>D11*D19</f>
        <v>3285.3599999999997</v>
      </c>
      <c r="E18" s="78"/>
      <c r="F18" s="25"/>
      <c r="G18" s="25"/>
    </row>
    <row r="19" spans="1:72" ht="12.75" customHeight="1" x14ac:dyDescent="0.25">
      <c r="A19" s="22"/>
      <c r="B19" s="217" t="s">
        <v>70</v>
      </c>
      <c r="C19" s="236">
        <v>16.20675</v>
      </c>
      <c r="D19" s="218">
        <v>42.12</v>
      </c>
      <c r="E19" s="252"/>
      <c r="F19" s="257"/>
      <c r="G19" s="257"/>
    </row>
    <row r="20" spans="1:72" ht="12.75" hidden="1" customHeight="1" x14ac:dyDescent="0.25">
      <c r="A20" s="22"/>
      <c r="B20" s="219" t="s">
        <v>72</v>
      </c>
      <c r="C20" s="78">
        <f>+C17*C9</f>
        <v>124.2</v>
      </c>
      <c r="D20" s="78">
        <f>+D17*D9</f>
        <v>92.82</v>
      </c>
      <c r="E20" s="218"/>
      <c r="F20" s="161"/>
      <c r="G20" s="161"/>
    </row>
    <row r="21" spans="1:72" ht="12.75" customHeight="1" x14ac:dyDescent="0.25">
      <c r="A21" s="22"/>
      <c r="B21" s="219"/>
      <c r="C21" s="78"/>
      <c r="D21" s="78"/>
      <c r="E21" s="218"/>
      <c r="F21" s="161"/>
      <c r="G21" s="161"/>
    </row>
    <row r="22" spans="1:72" ht="12.75" customHeight="1" x14ac:dyDescent="0.25">
      <c r="A22" s="22"/>
      <c r="B22" s="86" t="s">
        <v>89</v>
      </c>
      <c r="C22" s="25"/>
      <c r="D22" s="25"/>
      <c r="E22" s="161"/>
      <c r="F22" s="161"/>
      <c r="G22" s="161"/>
    </row>
    <row r="23" spans="1:72" ht="12.75" customHeight="1" x14ac:dyDescent="0.25">
      <c r="A23" s="22"/>
      <c r="B23" s="87" t="s">
        <v>50</v>
      </c>
      <c r="C23" s="22"/>
      <c r="D23" s="22"/>
      <c r="E23" s="22"/>
      <c r="F23" s="22"/>
      <c r="G23" s="22"/>
    </row>
    <row r="24" spans="1:72" ht="18" customHeight="1" x14ac:dyDescent="0.25">
      <c r="A24" s="44"/>
      <c r="B24" s="44"/>
      <c r="C24" s="243" t="s">
        <v>93</v>
      </c>
      <c r="D24" s="234">
        <f>SUM(C20:D20)</f>
        <v>217.01999999999998</v>
      </c>
      <c r="E24" s="258" t="s">
        <v>104</v>
      </c>
      <c r="F24" s="44"/>
      <c r="G24" s="44"/>
      <c r="H24" s="46"/>
      <c r="K24" s="22"/>
    </row>
    <row r="25" spans="1:72" ht="18" customHeight="1" x14ac:dyDescent="0.25">
      <c r="A25" s="39"/>
      <c r="B25" s="39"/>
      <c r="C25" s="69" t="s">
        <v>95</v>
      </c>
      <c r="D25" s="70">
        <f>ROUND(+D24/35,0)</f>
        <v>6</v>
      </c>
      <c r="E25" s="73" t="s">
        <v>4</v>
      </c>
      <c r="F25" s="39"/>
      <c r="G25" s="39"/>
      <c r="H25" s="35"/>
    </row>
    <row r="26" spans="1:72" ht="12.75" customHeight="1" x14ac:dyDescent="0.25">
      <c r="A26" s="39"/>
      <c r="B26" s="487" t="s">
        <v>8</v>
      </c>
      <c r="C26" s="487"/>
      <c r="D26" s="487"/>
      <c r="E26" s="487"/>
      <c r="F26" s="487"/>
      <c r="G26" s="487"/>
      <c r="H26" s="35"/>
    </row>
    <row r="27" spans="1:72" ht="18" customHeight="1" x14ac:dyDescent="0.25">
      <c r="A27" s="44"/>
      <c r="B27" s="44"/>
      <c r="C27" s="243" t="s">
        <v>96</v>
      </c>
      <c r="D27" s="234">
        <f>SUM(C17*C19+D17*D19)</f>
        <v>7758.4229999999998</v>
      </c>
      <c r="E27" s="258" t="s">
        <v>3</v>
      </c>
      <c r="F27" s="44"/>
      <c r="G27" s="44"/>
      <c r="H27" s="46"/>
    </row>
    <row r="28" spans="1:72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</row>
    <row r="29" spans="1:72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</row>
    <row r="30" spans="1:72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</row>
    <row r="31" spans="1:72" s="17" customFormat="1" ht="18" customHeight="1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</row>
    <row r="32" spans="1:72" s="17" customForma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</row>
    <row r="33" spans="1:72" s="17" customFormat="1" x14ac:dyDescent="0.25">
      <c r="A33" s="23"/>
      <c r="B33" s="23"/>
      <c r="C33" s="23"/>
      <c r="D33" s="23"/>
      <c r="E33" s="23"/>
      <c r="F33" s="23"/>
      <c r="G33" s="23"/>
      <c r="H33" s="224" t="s">
        <v>56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</row>
    <row r="34" spans="1:72" s="17" customFormat="1" x14ac:dyDescent="0.25">
      <c r="A34" s="23"/>
      <c r="B34" s="23"/>
      <c r="C34" s="23"/>
      <c r="D34" s="23"/>
      <c r="E34" s="23"/>
      <c r="F34" s="23"/>
      <c r="G34" s="23"/>
      <c r="H34" s="199" t="s">
        <v>55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</row>
    <row r="35" spans="1:72" s="17" customFormat="1" x14ac:dyDescent="0.25">
      <c r="A35" s="23"/>
      <c r="B35" s="23"/>
      <c r="C35" s="23"/>
      <c r="D35" s="23"/>
      <c r="E35" s="23"/>
      <c r="F35" s="23"/>
      <c r="G35" s="23"/>
      <c r="H35" s="246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</row>
    <row r="36" spans="1:72" s="17" customForma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</row>
    <row r="37" spans="1:72" s="17" customFormat="1" x14ac:dyDescent="0.25">
      <c r="A37" s="23"/>
      <c r="B37" s="23"/>
      <c r="C37" s="23"/>
      <c r="D37" s="23"/>
      <c r="E37" s="23"/>
      <c r="F37" s="23"/>
      <c r="G37" s="23"/>
      <c r="H37" s="199" t="s">
        <v>59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</row>
    <row r="38" spans="1:72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</row>
    <row r="39" spans="1:72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</row>
    <row r="40" spans="1:72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</row>
    <row r="41" spans="1:72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</row>
    <row r="42" spans="1:72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</row>
    <row r="43" spans="1:72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</row>
    <row r="44" spans="1:72" ht="12.75" customHeight="1" x14ac:dyDescent="0.25"/>
    <row r="45" spans="1:72" ht="12.75" customHeight="1" x14ac:dyDescent="0.25"/>
    <row r="46" spans="1:72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72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72" ht="21" customHeight="1" x14ac:dyDescent="0.25">
      <c r="A48" s="13"/>
      <c r="B48" s="11"/>
      <c r="C48" s="112"/>
      <c r="D48" s="112"/>
      <c r="E48" s="112"/>
      <c r="F48" s="112"/>
      <c r="G48" s="112"/>
      <c r="H48" s="112"/>
    </row>
  </sheetData>
  <sheetProtection algorithmName="SHA-512" hashValue="Omz/XK4CZbEAxE2OVCNgpd7PBripgBFfQqA+eljngeOpuP3r+NgptuRHTfTG9JX993wfj9HpGODRAb7HcZv4lA==" saltValue="xU3yAMGK4vSDwe4au8G//A==" spinCount="100000" sheet="1" selectLockedCells="1"/>
  <mergeCells count="4">
    <mergeCell ref="A1:H1"/>
    <mergeCell ref="G10:H15"/>
    <mergeCell ref="B26:G26"/>
    <mergeCell ref="F16:H16"/>
  </mergeCells>
  <phoneticPr fontId="0" type="noConversion"/>
  <dataValidations count="1"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 Projects with a higher than average number of openings and corners may require a higher allowance. " sqref="E4" xr:uid="{00000000-0002-0000-1500-000000000000}">
      <formula1>5</formula1>
      <formula2>100</formula2>
    </dataValidation>
  </dataValidations>
  <hyperlinks>
    <hyperlink ref="H38" r:id="rId1" xr:uid="{00000000-0004-0000-1500-000000000000}"/>
    <hyperlink ref="H37" r:id="rId2" xr:uid="{00000000-0004-0000-1500-000001000000}"/>
    <hyperlink ref="H36" r:id="rId3" xr:uid="{00000000-0004-0000-1500-000002000000}"/>
    <hyperlink ref="H34" r:id="rId4" xr:uid="{00000000-0004-0000-15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">
    <tabColor rgb="FFC00000"/>
  </sheetPr>
  <dimension ref="A1:AL48"/>
  <sheetViews>
    <sheetView showGridLines="0" showRowColHeaders="0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12" t="s">
        <v>206</v>
      </c>
      <c r="B1" s="512"/>
      <c r="C1" s="512"/>
      <c r="D1" s="512"/>
      <c r="E1" s="512"/>
      <c r="F1" s="512"/>
      <c r="G1" s="512"/>
      <c r="H1" s="512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1"/>
      <c r="C3" s="36"/>
      <c r="D3" s="94" t="s">
        <v>87</v>
      </c>
      <c r="E3" s="96">
        <v>200</v>
      </c>
      <c r="F3" s="2"/>
      <c r="G3" s="2"/>
      <c r="H3" s="3"/>
    </row>
    <row r="4" spans="1:8" ht="18" customHeight="1" x14ac:dyDescent="0.3">
      <c r="A4" s="22"/>
      <c r="B4" s="35"/>
      <c r="C4" s="36"/>
      <c r="D4" s="95" t="s">
        <v>13</v>
      </c>
      <c r="E4" s="97">
        <v>0</v>
      </c>
      <c r="F4" s="2"/>
      <c r="G4" s="2"/>
      <c r="H4" s="3"/>
    </row>
    <row r="5" spans="1:8" ht="18" customHeight="1" x14ac:dyDescent="0.3">
      <c r="A5" s="22"/>
      <c r="B5" s="35"/>
      <c r="C5" s="36"/>
      <c r="D5" s="95" t="s">
        <v>86</v>
      </c>
      <c r="E5" s="344">
        <f>E3+E3*E4/100</f>
        <v>200</v>
      </c>
      <c r="F5" s="2"/>
      <c r="G5" s="2"/>
      <c r="H5" s="3"/>
    </row>
    <row r="6" spans="1:8" ht="12.75" customHeight="1" x14ac:dyDescent="0.25">
      <c r="A6" s="22"/>
      <c r="B6" s="9"/>
      <c r="C6" s="22"/>
      <c r="D6" s="22"/>
      <c r="E6" s="22"/>
      <c r="F6" s="22"/>
      <c r="G6" s="22"/>
    </row>
    <row r="7" spans="1:8" ht="18" customHeight="1" thickBot="1" x14ac:dyDescent="0.35">
      <c r="A7" s="7"/>
      <c r="B7" s="100" t="s">
        <v>0</v>
      </c>
      <c r="C7" s="453" t="s">
        <v>301</v>
      </c>
      <c r="D7" s="456" t="s">
        <v>303</v>
      </c>
      <c r="E7" s="102" t="s">
        <v>32</v>
      </c>
      <c r="F7" s="247"/>
      <c r="G7" s="4"/>
      <c r="H7" s="1"/>
    </row>
    <row r="8" spans="1:8" ht="18" customHeight="1" thickTop="1" x14ac:dyDescent="0.3">
      <c r="A8" s="22"/>
      <c r="B8" s="103" t="s">
        <v>11</v>
      </c>
      <c r="C8" s="88">
        <v>0.2</v>
      </c>
      <c r="D8" s="89">
        <v>0.5</v>
      </c>
      <c r="E8" s="89">
        <v>0.3</v>
      </c>
      <c r="F8" s="74">
        <f>SUM(B8,C8,D8,E8)</f>
        <v>1</v>
      </c>
      <c r="G8" s="4"/>
      <c r="H8" s="1"/>
    </row>
    <row r="9" spans="1:8" ht="18.75" hidden="1" customHeight="1" x14ac:dyDescent="0.25">
      <c r="A9" s="22"/>
      <c r="B9" s="51" t="s">
        <v>67</v>
      </c>
      <c r="C9" s="104">
        <v>0.45</v>
      </c>
      <c r="D9" s="105">
        <v>1.19</v>
      </c>
      <c r="E9" s="105">
        <v>1.33</v>
      </c>
      <c r="F9" s="248"/>
      <c r="G9" s="22"/>
    </row>
    <row r="10" spans="1:8" ht="12.75" customHeight="1" x14ac:dyDescent="0.25">
      <c r="A10" s="22"/>
      <c r="B10" s="50" t="s">
        <v>1</v>
      </c>
      <c r="C10" s="106">
        <f>+($E$5*C8)/C9</f>
        <v>88.888888888888886</v>
      </c>
      <c r="D10" s="107">
        <f>+($E$5*D8)/D9</f>
        <v>84.033613445378151</v>
      </c>
      <c r="E10" s="107">
        <f>+($E$5*E8)/E9</f>
        <v>45.112781954887218</v>
      </c>
      <c r="F10" s="249"/>
      <c r="G10" s="490" t="s">
        <v>204</v>
      </c>
      <c r="H10" s="490"/>
    </row>
    <row r="11" spans="1:8" ht="12.75" customHeight="1" x14ac:dyDescent="0.25">
      <c r="A11" s="22"/>
      <c r="B11" s="51" t="s">
        <v>68</v>
      </c>
      <c r="C11" s="104">
        <v>180</v>
      </c>
      <c r="D11" s="105">
        <v>78</v>
      </c>
      <c r="E11" s="105">
        <v>52</v>
      </c>
      <c r="F11" s="248"/>
      <c r="G11" s="490"/>
      <c r="H11" s="490"/>
    </row>
    <row r="12" spans="1:8" ht="12.75" customHeight="1" thickBot="1" x14ac:dyDescent="0.3">
      <c r="A12" s="22"/>
      <c r="B12" s="115" t="s">
        <v>84</v>
      </c>
      <c r="C12" s="138">
        <v>12</v>
      </c>
      <c r="D12" s="138">
        <v>13</v>
      </c>
      <c r="E12" s="105">
        <v>13</v>
      </c>
      <c r="F12" s="248"/>
      <c r="G12" s="490"/>
      <c r="H12" s="490"/>
    </row>
    <row r="13" spans="1:8" ht="18.75" hidden="1" customHeight="1" x14ac:dyDescent="0.25">
      <c r="A13" s="22"/>
      <c r="B13" s="116" t="s">
        <v>64</v>
      </c>
      <c r="C13" s="138">
        <v>12</v>
      </c>
      <c r="D13" s="138">
        <v>13</v>
      </c>
      <c r="E13" s="105">
        <v>13</v>
      </c>
      <c r="F13" s="248"/>
      <c r="G13" s="490"/>
      <c r="H13" s="490"/>
    </row>
    <row r="14" spans="1:8" ht="18.75" hidden="1" customHeight="1" thickBot="1" x14ac:dyDescent="0.3">
      <c r="A14" s="22"/>
      <c r="B14" s="116" t="s">
        <v>65</v>
      </c>
      <c r="C14" s="138">
        <v>12</v>
      </c>
      <c r="D14" s="138">
        <v>13</v>
      </c>
      <c r="E14" s="105">
        <v>13</v>
      </c>
      <c r="F14" s="248"/>
      <c r="G14" s="490"/>
      <c r="H14" s="490"/>
    </row>
    <row r="15" spans="1:8" ht="18" customHeight="1" thickBot="1" x14ac:dyDescent="0.3">
      <c r="A15" s="22"/>
      <c r="B15" s="52" t="s">
        <v>69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1</v>
      </c>
      <c r="F15" s="250"/>
      <c r="G15" s="490"/>
      <c r="H15" s="490"/>
    </row>
    <row r="16" spans="1:8" ht="18" customHeight="1" thickBot="1" x14ac:dyDescent="0.3">
      <c r="A16" s="22"/>
      <c r="B16" s="139" t="s">
        <v>85</v>
      </c>
      <c r="C16" s="119">
        <f>IF(ROUNDUP((C10-(C11*C15))/C12,0)&lt;0,0,ROUNDUP((C10-(C11*C15))/C12,0))</f>
        <v>8</v>
      </c>
      <c r="D16" s="119">
        <f>IF(ROUNDUP((D10-(D11*D15))/D12,0)&lt;0,0,ROUNDUP((D10-(D11*D15))/D12,0))</f>
        <v>1</v>
      </c>
      <c r="E16" s="119">
        <f>IF(ROUNDUP((E10-(E11*E15))/E12,0)&lt;0,0,ROUNDUP((E10-(E11*E15))/E12,0))</f>
        <v>0</v>
      </c>
      <c r="F16" s="516" t="s">
        <v>205</v>
      </c>
      <c r="G16" s="516"/>
      <c r="H16" s="516"/>
    </row>
    <row r="17" spans="1:38" ht="18" customHeight="1" x14ac:dyDescent="0.25">
      <c r="A17" s="22"/>
      <c r="B17" s="140" t="s">
        <v>66</v>
      </c>
      <c r="C17" s="123">
        <f>(C15*C11)+(ROUNDUP(C16/2,0)*C13)+(ROUNDDOWN(C16/2,0)*C14)</f>
        <v>96</v>
      </c>
      <c r="D17" s="123">
        <f>(D15*D11)+(ROUNDUP(D16/2,0)*D13)+(ROUNDDOWN(D16/2,0)*D14)</f>
        <v>91</v>
      </c>
      <c r="E17" s="123">
        <f>(E15*E11)+(ROUNDUP(E16/2,0)*E13)+(ROUNDDOWN(E16/2,0)*E14)</f>
        <v>52</v>
      </c>
      <c r="F17" s="251"/>
      <c r="G17" s="22"/>
    </row>
    <row r="18" spans="1:38" ht="12.75" customHeight="1" x14ac:dyDescent="0.25">
      <c r="A18" s="22"/>
      <c r="B18" s="143" t="s">
        <v>71</v>
      </c>
      <c r="C18" s="78">
        <f>C11*C19</f>
        <v>2917.2150000000001</v>
      </c>
      <c r="D18" s="78">
        <f>D11*D19</f>
        <v>3285.3599999999997</v>
      </c>
      <c r="E18" s="78">
        <f>E11*E19</f>
        <v>2545.4</v>
      </c>
      <c r="F18" s="78"/>
      <c r="G18" s="22"/>
    </row>
    <row r="19" spans="1:38" ht="12.75" customHeight="1" x14ac:dyDescent="0.25">
      <c r="A19" s="22"/>
      <c r="B19" s="217" t="s">
        <v>70</v>
      </c>
      <c r="C19" s="236">
        <v>16.20675</v>
      </c>
      <c r="D19" s="236">
        <v>42.12</v>
      </c>
      <c r="E19" s="236">
        <v>48.95</v>
      </c>
      <c r="F19" s="252"/>
      <c r="G19" s="22"/>
    </row>
    <row r="20" spans="1:38" ht="12.75" hidden="1" customHeight="1" x14ac:dyDescent="0.25">
      <c r="A20" s="22"/>
      <c r="B20" s="219" t="s">
        <v>72</v>
      </c>
      <c r="C20" s="78">
        <f>+C17*C9</f>
        <v>43.2</v>
      </c>
      <c r="D20" s="78">
        <f>+D17*D9</f>
        <v>108.28999999999999</v>
      </c>
      <c r="E20" s="78">
        <f>+E17*E9</f>
        <v>69.16</v>
      </c>
      <c r="F20" s="218"/>
      <c r="G20" s="22"/>
    </row>
    <row r="21" spans="1:38" ht="12.75" customHeight="1" x14ac:dyDescent="0.25">
      <c r="A21" s="22"/>
      <c r="B21" s="240"/>
      <c r="C21" s="240"/>
      <c r="D21" s="240"/>
      <c r="E21" s="240"/>
      <c r="F21" s="240"/>
      <c r="G21" s="22"/>
    </row>
    <row r="22" spans="1:38" ht="12.75" customHeight="1" x14ac:dyDescent="0.25">
      <c r="A22" s="22"/>
      <c r="B22" s="86" t="s">
        <v>89</v>
      </c>
      <c r="C22" s="240"/>
      <c r="D22" s="240"/>
      <c r="E22" s="240"/>
      <c r="F22" s="240"/>
      <c r="G22" s="22"/>
    </row>
    <row r="23" spans="1:38" ht="12.75" customHeight="1" x14ac:dyDescent="0.25">
      <c r="A23" s="22"/>
      <c r="B23" s="87" t="s">
        <v>50</v>
      </c>
      <c r="C23" s="240"/>
      <c r="D23" s="240"/>
      <c r="E23" s="240"/>
      <c r="F23" s="240"/>
      <c r="G23" s="22"/>
    </row>
    <row r="24" spans="1:38" ht="18" customHeight="1" x14ac:dyDescent="0.25">
      <c r="A24" s="44"/>
      <c r="B24" s="44"/>
      <c r="C24" s="243" t="s">
        <v>93</v>
      </c>
      <c r="D24" s="234">
        <f>SUM(C20:E20)</f>
        <v>220.65</v>
      </c>
      <c r="E24" s="244" t="s">
        <v>104</v>
      </c>
      <c r="F24" s="44"/>
      <c r="G24" s="44"/>
      <c r="H24" s="46"/>
      <c r="K24" s="22"/>
    </row>
    <row r="25" spans="1:38" ht="18" customHeight="1" x14ac:dyDescent="0.25">
      <c r="A25" s="39"/>
      <c r="B25" s="39"/>
      <c r="C25" s="69" t="s">
        <v>95</v>
      </c>
      <c r="D25" s="70">
        <f>ROUND(+D24/35,0)</f>
        <v>6</v>
      </c>
      <c r="E25" s="245" t="s">
        <v>4</v>
      </c>
      <c r="F25" s="39"/>
      <c r="G25" s="39"/>
      <c r="H25" s="35"/>
    </row>
    <row r="26" spans="1:38" ht="12.75" customHeight="1" x14ac:dyDescent="0.25">
      <c r="A26" s="39"/>
      <c r="B26" s="487" t="s">
        <v>8</v>
      </c>
      <c r="C26" s="487"/>
      <c r="D26" s="487"/>
      <c r="E26" s="487"/>
      <c r="F26" s="487"/>
      <c r="G26" s="487"/>
      <c r="H26" s="35"/>
    </row>
    <row r="27" spans="1:38" ht="18" customHeight="1" x14ac:dyDescent="0.25">
      <c r="A27" s="44"/>
      <c r="B27" s="44"/>
      <c r="C27" s="243" t="s">
        <v>96</v>
      </c>
      <c r="D27" s="234">
        <f>SUM(C17*C19+D17*D19+E17*E19)</f>
        <v>7934.1679999999997</v>
      </c>
      <c r="E27" s="244" t="s">
        <v>3</v>
      </c>
      <c r="F27" s="44"/>
      <c r="G27" s="44"/>
      <c r="H27" s="46"/>
    </row>
    <row r="28" spans="1:38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</row>
    <row r="29" spans="1:38" s="17" customFormat="1" ht="12.75" customHeigh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</row>
    <row r="30" spans="1:38" s="17" customFormat="1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</row>
    <row r="31" spans="1:38" s="17" customFormat="1" ht="18" customHeight="1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</row>
    <row r="32" spans="1:38" s="17" customFormat="1" ht="12.75" customHeigh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s="17" customFormat="1" ht="12.75" customHeight="1" x14ac:dyDescent="0.25">
      <c r="A33" s="23"/>
      <c r="B33" s="23"/>
      <c r="C33" s="23"/>
      <c r="D33" s="23"/>
      <c r="E33" s="23"/>
      <c r="F33" s="23"/>
      <c r="G33" s="23"/>
      <c r="H33" s="224" t="s">
        <v>56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</row>
    <row r="34" spans="1:38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99" t="s">
        <v>55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</row>
    <row r="35" spans="1:3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46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1:3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59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1:3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</row>
    <row r="39" spans="1:3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</row>
    <row r="40" spans="1:38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</row>
    <row r="41" spans="1:3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</row>
    <row r="42" spans="1:3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</row>
    <row r="43" spans="1:3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</row>
    <row r="44" spans="1:3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</row>
    <row r="45" spans="1:38" ht="12.75" customHeight="1" x14ac:dyDescent="0.25"/>
    <row r="46" spans="1:38" ht="21" customHeight="1" x14ac:dyDescent="0.3">
      <c r="B46" s="15" t="s">
        <v>16</v>
      </c>
      <c r="C46" s="114"/>
      <c r="D46" s="114"/>
      <c r="E46" s="114"/>
      <c r="F46" s="114"/>
      <c r="G46" s="114"/>
      <c r="H46" s="114"/>
    </row>
    <row r="47" spans="1:38" ht="21" customHeight="1" x14ac:dyDescent="0.25">
      <c r="B47" s="13"/>
      <c r="C47" s="112"/>
      <c r="D47" s="112"/>
      <c r="E47" s="112"/>
      <c r="F47" s="112"/>
      <c r="G47" s="112"/>
      <c r="H47" s="112"/>
    </row>
    <row r="48" spans="1:38" ht="21" customHeight="1" x14ac:dyDescent="0.25">
      <c r="B48" s="11"/>
      <c r="C48" s="112"/>
      <c r="D48" s="112"/>
      <c r="E48" s="112"/>
      <c r="F48" s="112"/>
      <c r="G48" s="112"/>
      <c r="H48" s="112"/>
    </row>
  </sheetData>
  <sheetProtection algorithmName="SHA-512" hashValue="tWHi7cpKs+tFa49/ilqIl+/vpoQdjV7AaKaH/UUNuaKv3PvVaz69D2203/GC3cIMYIKYdWedYxZdCKQP/AHj+Q==" saltValue="MDwPbh0RVjDSIpVpTYdlFQ==" spinCount="100000" sheet="1" selectLockedCells="1"/>
  <mergeCells count="4">
    <mergeCell ref="A1:H1"/>
    <mergeCell ref="G10:H15"/>
    <mergeCell ref="B26:G26"/>
    <mergeCell ref="F16:H16"/>
  </mergeCells>
  <phoneticPr fontId="0" type="noConversion"/>
  <dataValidations disablePrompts="1" xWindow="493" yWindow="194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1600-000000000000}"/>
  </dataValidations>
  <hyperlinks>
    <hyperlink ref="H38" r:id="rId1" xr:uid="{00000000-0004-0000-1600-000000000000}"/>
    <hyperlink ref="H37" r:id="rId2" xr:uid="{00000000-0004-0000-1600-000001000000}"/>
    <hyperlink ref="H36" r:id="rId3" xr:uid="{00000000-0004-0000-1600-000002000000}"/>
    <hyperlink ref="H34" r:id="rId4" xr:uid="{00000000-0004-0000-16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7">
    <tabColor rgb="FFC00000"/>
  </sheetPr>
  <dimension ref="A1:AY48"/>
  <sheetViews>
    <sheetView showGridLines="0" showRowColHeaders="0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12" t="s">
        <v>207</v>
      </c>
      <c r="B1" s="512"/>
      <c r="C1" s="512"/>
      <c r="D1" s="512"/>
      <c r="E1" s="512"/>
      <c r="F1" s="512"/>
      <c r="G1" s="512"/>
      <c r="H1" s="512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1"/>
      <c r="C3" s="36"/>
      <c r="D3" s="94" t="s">
        <v>87</v>
      </c>
      <c r="E3" s="96">
        <v>200</v>
      </c>
      <c r="F3" s="2"/>
      <c r="G3" s="2"/>
      <c r="H3" s="3"/>
    </row>
    <row r="4" spans="1:8" ht="18" customHeight="1" x14ac:dyDescent="0.3">
      <c r="A4" s="22"/>
      <c r="B4" s="35"/>
      <c r="C4" s="36"/>
      <c r="D4" s="95" t="s">
        <v>13</v>
      </c>
      <c r="E4" s="97">
        <v>0</v>
      </c>
      <c r="F4" s="2"/>
      <c r="G4" s="2"/>
      <c r="H4" s="3"/>
    </row>
    <row r="5" spans="1:8" ht="18" customHeight="1" x14ac:dyDescent="0.3">
      <c r="A5" s="22"/>
      <c r="B5" s="35"/>
      <c r="C5" s="36"/>
      <c r="D5" s="95" t="s">
        <v>86</v>
      </c>
      <c r="E5" s="344">
        <f>E3+E3*E4/100</f>
        <v>200</v>
      </c>
      <c r="F5" s="2"/>
      <c r="G5" s="2"/>
      <c r="H5" s="3"/>
    </row>
    <row r="6" spans="1:8" ht="12.75" customHeight="1" x14ac:dyDescent="0.25">
      <c r="A6" s="22"/>
      <c r="B6" s="12"/>
      <c r="C6" s="22"/>
      <c r="D6" s="22"/>
      <c r="E6" s="22"/>
      <c r="F6" s="22"/>
      <c r="G6" s="22"/>
    </row>
    <row r="7" spans="1:8" ht="18" customHeight="1" thickBot="1" x14ac:dyDescent="0.35">
      <c r="A7" s="7"/>
      <c r="B7" s="100" t="s">
        <v>0</v>
      </c>
      <c r="C7" s="453" t="s">
        <v>301</v>
      </c>
      <c r="D7" s="456" t="s">
        <v>302</v>
      </c>
      <c r="E7" s="102" t="s">
        <v>32</v>
      </c>
      <c r="F7" s="238" t="s">
        <v>44</v>
      </c>
      <c r="G7" s="239"/>
      <c r="H7" s="1"/>
    </row>
    <row r="8" spans="1:8" ht="18" customHeight="1" thickTop="1" x14ac:dyDescent="0.3">
      <c r="A8" s="22"/>
      <c r="B8" s="103" t="s">
        <v>11</v>
      </c>
      <c r="C8" s="88">
        <v>0.2</v>
      </c>
      <c r="D8" s="89">
        <v>0.4</v>
      </c>
      <c r="E8" s="89">
        <v>0.3</v>
      </c>
      <c r="F8" s="152">
        <v>0.1</v>
      </c>
      <c r="G8" s="74">
        <f>SUM(C8,D8,E8,F8)</f>
        <v>1.0000000000000002</v>
      </c>
      <c r="H8" s="1"/>
    </row>
    <row r="9" spans="1:8" ht="18.75" hidden="1" customHeight="1" x14ac:dyDescent="0.25">
      <c r="A9" s="22"/>
      <c r="B9" s="51" t="s">
        <v>67</v>
      </c>
      <c r="C9" s="104">
        <v>0.45</v>
      </c>
      <c r="D9" s="105">
        <v>1.19</v>
      </c>
      <c r="E9" s="105">
        <v>1.33</v>
      </c>
      <c r="F9" s="105">
        <v>1.79</v>
      </c>
      <c r="G9" s="240"/>
    </row>
    <row r="10" spans="1:8" ht="12.75" customHeight="1" x14ac:dyDescent="0.25">
      <c r="A10" s="22"/>
      <c r="B10" s="50" t="s">
        <v>1</v>
      </c>
      <c r="C10" s="106">
        <f>+($E$5*C8)/C9</f>
        <v>88.888888888888886</v>
      </c>
      <c r="D10" s="107">
        <f>+($E$5*D8)/D9</f>
        <v>67.226890756302524</v>
      </c>
      <c r="E10" s="107">
        <f>+($E$5*E8)/E9</f>
        <v>45.112781954887218</v>
      </c>
      <c r="F10" s="241">
        <f>+($E$5*F8)/F9</f>
        <v>11.173184357541899</v>
      </c>
      <c r="G10" s="490" t="s">
        <v>204</v>
      </c>
      <c r="H10" s="490"/>
    </row>
    <row r="11" spans="1:8" ht="12.75" customHeight="1" x14ac:dyDescent="0.25">
      <c r="A11" s="22"/>
      <c r="B11" s="51" t="s">
        <v>68</v>
      </c>
      <c r="C11" s="104">
        <v>180</v>
      </c>
      <c r="D11" s="105">
        <v>78</v>
      </c>
      <c r="E11" s="105">
        <v>52</v>
      </c>
      <c r="F11" s="242">
        <v>39</v>
      </c>
      <c r="G11" s="490"/>
      <c r="H11" s="490"/>
    </row>
    <row r="12" spans="1:8" ht="12.75" customHeight="1" thickBot="1" x14ac:dyDescent="0.3">
      <c r="A12" s="22"/>
      <c r="B12" s="115" t="s">
        <v>84</v>
      </c>
      <c r="C12" s="138">
        <v>12</v>
      </c>
      <c r="D12" s="138">
        <v>13</v>
      </c>
      <c r="E12" s="105">
        <v>13</v>
      </c>
      <c r="F12" s="242">
        <v>13</v>
      </c>
      <c r="G12" s="490"/>
      <c r="H12" s="490"/>
    </row>
    <row r="13" spans="1:8" ht="18.75" hidden="1" customHeight="1" x14ac:dyDescent="0.25">
      <c r="A13" s="22"/>
      <c r="B13" s="116" t="s">
        <v>64</v>
      </c>
      <c r="C13" s="138">
        <v>12</v>
      </c>
      <c r="D13" s="138">
        <v>13</v>
      </c>
      <c r="E13" s="105">
        <v>13</v>
      </c>
      <c r="F13" s="242">
        <v>13</v>
      </c>
      <c r="G13" s="490"/>
      <c r="H13" s="490"/>
    </row>
    <row r="14" spans="1:8" ht="18.75" hidden="1" customHeight="1" thickBot="1" x14ac:dyDescent="0.3">
      <c r="A14" s="22"/>
      <c r="B14" s="116" t="s">
        <v>65</v>
      </c>
      <c r="C14" s="138">
        <v>12</v>
      </c>
      <c r="D14" s="138">
        <v>13</v>
      </c>
      <c r="E14" s="105">
        <v>13</v>
      </c>
      <c r="F14" s="242">
        <v>13</v>
      </c>
      <c r="G14" s="490"/>
      <c r="H14" s="490"/>
    </row>
    <row r="15" spans="1:8" ht="18" customHeight="1" thickBot="1" x14ac:dyDescent="0.3">
      <c r="A15" s="22"/>
      <c r="B15" s="52" t="s">
        <v>69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1</v>
      </c>
      <c r="F15" s="65">
        <f>IF(MOD(F10+F13,F11)&lt;=F13,1+ROUNDDOWN(F10/F11,0),ROUNDDOWN(F10/F11,0))</f>
        <v>0</v>
      </c>
      <c r="G15" s="490"/>
      <c r="H15" s="490"/>
    </row>
    <row r="16" spans="1:8" ht="18" customHeight="1" thickBot="1" x14ac:dyDescent="0.3">
      <c r="A16" s="22"/>
      <c r="B16" s="139" t="s">
        <v>85</v>
      </c>
      <c r="C16" s="119">
        <f>IF(ROUNDUP((C10-(C11*C15))/C12,0)&lt;0,0,ROUNDUP((C10-(C11*C15))/C12,0))</f>
        <v>8</v>
      </c>
      <c r="D16" s="119">
        <f>IF(ROUNDUP((D10-(D11*D15))/D12,0)&lt;0,0,ROUNDUP((D10-(D11*D15))/D12,0))</f>
        <v>0</v>
      </c>
      <c r="E16" s="119">
        <f>IF(ROUNDUP((E10-(E11*E15))/E12,0)&lt;0,0,ROUNDUP((E10-(E11*E15))/E12,0))</f>
        <v>0</v>
      </c>
      <c r="F16" s="119">
        <f>IF(ROUNDUP((F10-(F11*F15))/F12,0)&lt;0,0,ROUNDUP((F10-(F11*F15))/F12,0))</f>
        <v>1</v>
      </c>
      <c r="G16" s="517" t="s">
        <v>205</v>
      </c>
      <c r="H16" s="516"/>
    </row>
    <row r="17" spans="1:51" ht="18" customHeight="1" x14ac:dyDescent="0.25">
      <c r="A17" s="22"/>
      <c r="B17" s="140" t="s">
        <v>66</v>
      </c>
      <c r="C17" s="123">
        <f>(C15*C11)+(ROUNDUP(C16/2,0)*C13)+(ROUNDDOWN(C16/2,0)*C14)</f>
        <v>96</v>
      </c>
      <c r="D17" s="123">
        <f>(D15*D11)+(ROUNDUP(D16/2,0)*D13)+(ROUNDDOWN(D16/2,0)*D14)</f>
        <v>78</v>
      </c>
      <c r="E17" s="123">
        <f>(E15*E11)+(ROUNDUP(E16/2,0)*E13)+(ROUNDDOWN(E16/2,0)*E14)</f>
        <v>52</v>
      </c>
      <c r="F17" s="123">
        <f>(F15*F11)+(ROUNDUP(F16/2,0)*F13)+(ROUNDDOWN(F16/2,0)*F14)</f>
        <v>13</v>
      </c>
      <c r="G17" s="517"/>
      <c r="H17" s="516"/>
    </row>
    <row r="18" spans="1:51" ht="12.75" customHeight="1" x14ac:dyDescent="0.25">
      <c r="A18" s="22"/>
      <c r="B18" s="143" t="s">
        <v>71</v>
      </c>
      <c r="C18" s="78">
        <f>C11*C19</f>
        <v>2917.2150000000001</v>
      </c>
      <c r="D18" s="78">
        <f>D11*D19</f>
        <v>3285.3599999999997</v>
      </c>
      <c r="E18" s="78">
        <f>E11*E19</f>
        <v>2545.4</v>
      </c>
      <c r="F18" s="78">
        <f>F11*F19</f>
        <v>2717.442</v>
      </c>
      <c r="G18" s="22"/>
    </row>
    <row r="19" spans="1:51" ht="12.75" customHeight="1" x14ac:dyDescent="0.25">
      <c r="A19" s="22"/>
      <c r="B19" s="217" t="s">
        <v>70</v>
      </c>
      <c r="C19" s="236">
        <v>16.20675</v>
      </c>
      <c r="D19" s="236">
        <v>42.12</v>
      </c>
      <c r="E19" s="236">
        <v>48.95</v>
      </c>
      <c r="F19" s="236">
        <v>69.677999999999997</v>
      </c>
      <c r="G19" s="22"/>
    </row>
    <row r="20" spans="1:51" ht="12.75" hidden="1" customHeight="1" x14ac:dyDescent="0.25">
      <c r="A20" s="22"/>
      <c r="B20" s="24" t="s">
        <v>72</v>
      </c>
      <c r="C20" s="25">
        <f>+C17*C9</f>
        <v>43.2</v>
      </c>
      <c r="D20" s="25">
        <f>+D17*D9</f>
        <v>92.82</v>
      </c>
      <c r="E20" s="25">
        <f>+E17*E9</f>
        <v>69.16</v>
      </c>
      <c r="F20" s="25">
        <f>+F17*F9</f>
        <v>23.27</v>
      </c>
      <c r="G20" s="22"/>
    </row>
    <row r="21" spans="1:51" ht="12.75" customHeight="1" x14ac:dyDescent="0.25">
      <c r="A21" s="22"/>
      <c r="B21" s="24"/>
      <c r="C21" s="25"/>
      <c r="D21" s="25"/>
      <c r="E21" s="25"/>
      <c r="F21" s="25"/>
      <c r="G21" s="22"/>
    </row>
    <row r="22" spans="1:51" ht="12.75" customHeight="1" x14ac:dyDescent="0.25">
      <c r="A22" s="22"/>
      <c r="B22" s="86" t="s">
        <v>89</v>
      </c>
      <c r="C22" s="22"/>
      <c r="D22" s="22"/>
      <c r="E22" s="22"/>
      <c r="F22" s="22"/>
      <c r="G22" s="22"/>
    </row>
    <row r="23" spans="1:51" ht="12.75" customHeight="1" x14ac:dyDescent="0.25">
      <c r="A23" s="22"/>
      <c r="B23" s="87" t="s">
        <v>50</v>
      </c>
      <c r="C23" s="22"/>
      <c r="D23" s="22"/>
      <c r="E23" s="22"/>
      <c r="F23" s="22"/>
      <c r="G23" s="22"/>
    </row>
    <row r="24" spans="1:51" ht="18" customHeight="1" x14ac:dyDescent="0.25">
      <c r="A24" s="44"/>
      <c r="B24" s="44"/>
      <c r="C24" s="243" t="s">
        <v>93</v>
      </c>
      <c r="D24" s="234">
        <f>SUM(C20:E20)</f>
        <v>205.17999999999998</v>
      </c>
      <c r="E24" s="244" t="s">
        <v>104</v>
      </c>
      <c r="F24" s="44"/>
      <c r="G24" s="44"/>
      <c r="H24" s="46"/>
    </row>
    <row r="25" spans="1:51" ht="18" customHeight="1" x14ac:dyDescent="0.25">
      <c r="A25" s="39"/>
      <c r="B25" s="39"/>
      <c r="C25" s="69" t="s">
        <v>95</v>
      </c>
      <c r="D25" s="70">
        <f>ROUND(+D24/35,0)</f>
        <v>6</v>
      </c>
      <c r="E25" s="245" t="s">
        <v>4</v>
      </c>
      <c r="F25" s="39"/>
      <c r="G25" s="39"/>
      <c r="H25" s="35"/>
    </row>
    <row r="26" spans="1:51" ht="12.75" customHeight="1" x14ac:dyDescent="0.25">
      <c r="A26" s="39"/>
      <c r="B26" s="487" t="s">
        <v>8</v>
      </c>
      <c r="C26" s="487"/>
      <c r="D26" s="487"/>
      <c r="E26" s="487"/>
      <c r="F26" s="487"/>
      <c r="G26" s="487"/>
      <c r="H26" s="35"/>
    </row>
    <row r="27" spans="1:51" ht="18" customHeight="1" x14ac:dyDescent="0.25">
      <c r="A27" s="44"/>
      <c r="B27" s="44"/>
      <c r="C27" s="243" t="s">
        <v>96</v>
      </c>
      <c r="D27" s="234">
        <f>SUM(C17*C19+D17*D19+E17*E19+F17*F19)</f>
        <v>8292.4220000000005</v>
      </c>
      <c r="E27" s="244" t="s">
        <v>3</v>
      </c>
      <c r="F27" s="44"/>
      <c r="G27" s="44"/>
      <c r="H27" s="46"/>
    </row>
    <row r="28" spans="1:51" s="17" customFormat="1" ht="12.7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</row>
    <row r="29" spans="1:51" s="17" customFormat="1" ht="12.75" customHeigh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</row>
    <row r="30" spans="1:51" s="17" customFormat="1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</row>
    <row r="31" spans="1:51" s="17" customFormat="1" ht="18" customHeight="1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</row>
    <row r="32" spans="1:51" s="17" customFormat="1" ht="12.75" customHeigh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</row>
    <row r="33" spans="1:51" s="17" customFormat="1" ht="12.75" customHeight="1" x14ac:dyDescent="0.25">
      <c r="A33" s="23"/>
      <c r="B33" s="23"/>
      <c r="C33" s="23"/>
      <c r="D33" s="23"/>
      <c r="E33" s="23"/>
      <c r="F33" s="23"/>
      <c r="G33" s="23"/>
      <c r="H33" s="224" t="s">
        <v>56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</row>
    <row r="34" spans="1:51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99" t="s">
        <v>55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</row>
    <row r="35" spans="1:51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246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</row>
    <row r="36" spans="1:51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</row>
    <row r="37" spans="1:51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59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</row>
    <row r="38" spans="1:51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</row>
    <row r="39" spans="1:51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</row>
    <row r="40" spans="1:51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</row>
    <row r="41" spans="1:51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</row>
    <row r="42" spans="1:51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51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51" ht="12.75" customHeight="1" x14ac:dyDescent="0.25"/>
    <row r="46" spans="1:51" ht="21" customHeight="1" x14ac:dyDescent="0.3">
      <c r="B46" s="15" t="s">
        <v>16</v>
      </c>
      <c r="C46" s="114"/>
      <c r="D46" s="114"/>
      <c r="E46" s="114"/>
      <c r="F46" s="114"/>
      <c r="G46" s="114"/>
      <c r="H46" s="114"/>
    </row>
    <row r="47" spans="1:51" ht="21" customHeight="1" x14ac:dyDescent="0.25">
      <c r="B47" s="13"/>
      <c r="C47" s="112"/>
      <c r="D47" s="112"/>
      <c r="E47" s="112"/>
      <c r="F47" s="112"/>
      <c r="G47" s="112"/>
      <c r="H47" s="112"/>
    </row>
    <row r="48" spans="1:51" ht="21" customHeight="1" x14ac:dyDescent="0.25">
      <c r="B48" s="11"/>
      <c r="C48" s="112"/>
      <c r="D48" s="112"/>
      <c r="E48" s="112"/>
      <c r="F48" s="112"/>
      <c r="G48" s="112"/>
      <c r="H48" s="112"/>
    </row>
  </sheetData>
  <sheetProtection algorithmName="SHA-512" hashValue="lcy1fj5j52+WnAib2p8ITtULS+GYnqQBZvOHIgk+iuJaH5tjsKjv3Fqt/RlGbA2IXe1QK30V7sW76I5jSTN27g==" saltValue="BCQJlkF4N79811uJnXZZsA==" spinCount="100000" sheet="1" selectLockedCells="1"/>
  <mergeCells count="4">
    <mergeCell ref="A1:H1"/>
    <mergeCell ref="G10:H15"/>
    <mergeCell ref="B26:G26"/>
    <mergeCell ref="G16:H17"/>
  </mergeCells>
  <phoneticPr fontId="25" type="noConversion"/>
  <dataValidations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1700-000000000000}"/>
  </dataValidations>
  <hyperlinks>
    <hyperlink ref="H38" r:id="rId1" xr:uid="{00000000-0004-0000-1700-000000000000}"/>
    <hyperlink ref="H37" r:id="rId2" xr:uid="{00000000-0004-0000-1700-000001000000}"/>
    <hyperlink ref="H36" r:id="rId3" xr:uid="{00000000-0004-0000-1700-000002000000}"/>
    <hyperlink ref="H34" r:id="rId4" xr:uid="{00000000-0004-0000-17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">
    <tabColor rgb="FFC00000"/>
  </sheetPr>
  <dimension ref="A1:HX48"/>
  <sheetViews>
    <sheetView showGridLines="0" showRowColHeaders="0" zoomScaleNormal="100" workbookViewId="0">
      <selection activeCell="F3" sqref="F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7" width="8.6640625" style="23" customWidth="1"/>
    <col min="8" max="8" width="14.6640625" style="23" customWidth="1"/>
    <col min="9" max="9" width="8.6640625" style="23" customWidth="1"/>
    <col min="10" max="16384" width="9.109375" style="23"/>
  </cols>
  <sheetData>
    <row r="1" spans="1:9" ht="24" customHeight="1" x14ac:dyDescent="0.25">
      <c r="A1" s="518" t="s">
        <v>309</v>
      </c>
      <c r="B1" s="518"/>
      <c r="C1" s="518"/>
      <c r="D1" s="518"/>
      <c r="E1" s="518"/>
      <c r="F1" s="518"/>
      <c r="G1" s="518"/>
      <c r="H1" s="518"/>
      <c r="I1" s="518"/>
    </row>
    <row r="2" spans="1:9" ht="12.75" customHeight="1" x14ac:dyDescent="0.25">
      <c r="A2" s="22"/>
      <c r="B2" s="22"/>
      <c r="C2" s="22"/>
      <c r="D2" s="22"/>
      <c r="E2" s="22"/>
      <c r="G2" s="22"/>
    </row>
    <row r="3" spans="1:9" ht="18" customHeight="1" x14ac:dyDescent="0.3">
      <c r="A3" s="22"/>
      <c r="B3" s="35"/>
      <c r="C3" s="41"/>
      <c r="D3" s="36"/>
      <c r="E3" s="94" t="s">
        <v>87</v>
      </c>
      <c r="F3" s="37">
        <v>200</v>
      </c>
      <c r="G3" s="2"/>
      <c r="I3" s="3"/>
    </row>
    <row r="4" spans="1:9" ht="18" customHeight="1" x14ac:dyDescent="0.3">
      <c r="A4" s="22"/>
      <c r="B4" s="35"/>
      <c r="C4" s="35"/>
      <c r="D4" s="36"/>
      <c r="E4" s="95" t="s">
        <v>13</v>
      </c>
      <c r="F4" s="38">
        <v>0</v>
      </c>
      <c r="G4" s="2"/>
      <c r="I4" s="3"/>
    </row>
    <row r="5" spans="1:9" ht="18" customHeight="1" x14ac:dyDescent="0.3">
      <c r="A5" s="22"/>
      <c r="B5" s="35"/>
      <c r="C5" s="35"/>
      <c r="D5" s="36"/>
      <c r="E5" s="95" t="s">
        <v>86</v>
      </c>
      <c r="F5" s="348">
        <f>F3+F3*F4/100</f>
        <v>200</v>
      </c>
      <c r="G5" s="2"/>
      <c r="I5" s="3"/>
    </row>
    <row r="6" spans="1:9" ht="12.75" customHeight="1" x14ac:dyDescent="0.25">
      <c r="A6" s="22"/>
      <c r="B6" s="9"/>
      <c r="C6" s="22"/>
      <c r="D6" s="22"/>
      <c r="E6" s="22"/>
      <c r="G6" s="22"/>
    </row>
    <row r="7" spans="1:9" ht="18" customHeight="1" thickBot="1" x14ac:dyDescent="0.35">
      <c r="A7" s="7"/>
      <c r="B7" s="100" t="s">
        <v>0</v>
      </c>
      <c r="C7" s="454" t="s">
        <v>301</v>
      </c>
      <c r="D7" s="456" t="s">
        <v>53</v>
      </c>
      <c r="E7" s="455" t="s">
        <v>302</v>
      </c>
      <c r="F7" s="456" t="s">
        <v>32</v>
      </c>
      <c r="G7" s="456" t="s">
        <v>44</v>
      </c>
      <c r="I7" s="1"/>
    </row>
    <row r="8" spans="1:9" ht="18" customHeight="1" thickTop="1" x14ac:dyDescent="0.25">
      <c r="A8" s="22"/>
      <c r="B8" s="103" t="s">
        <v>11</v>
      </c>
      <c r="C8" s="88">
        <v>0.1</v>
      </c>
      <c r="D8" s="89">
        <v>0.2</v>
      </c>
      <c r="E8" s="147">
        <v>0.4</v>
      </c>
      <c r="F8" s="89">
        <v>0.2</v>
      </c>
      <c r="G8" s="89">
        <v>0.1</v>
      </c>
      <c r="H8" s="74">
        <f>SUM(C8:G8)</f>
        <v>1.0000000000000002</v>
      </c>
    </row>
    <row r="9" spans="1:9" ht="18.75" hidden="1" customHeight="1" x14ac:dyDescent="0.25">
      <c r="A9" s="22"/>
      <c r="B9" s="51" t="s">
        <v>67</v>
      </c>
      <c r="C9" s="104">
        <v>0.45</v>
      </c>
      <c r="D9" s="105">
        <v>0.85</v>
      </c>
      <c r="E9" s="105">
        <v>1.19</v>
      </c>
      <c r="F9" s="105">
        <v>1.33</v>
      </c>
      <c r="G9" s="105">
        <v>1.77</v>
      </c>
    </row>
    <row r="10" spans="1:9" ht="12.75" customHeight="1" x14ac:dyDescent="0.25">
      <c r="A10" s="22"/>
      <c r="B10" s="50" t="s">
        <v>1</v>
      </c>
      <c r="C10" s="106">
        <f>+($F$5*C8)/C9</f>
        <v>44.444444444444443</v>
      </c>
      <c r="D10" s="107">
        <f>+($F$5*D8)/D9</f>
        <v>47.058823529411768</v>
      </c>
      <c r="E10" s="107">
        <f>+($F$5*E8)/E9</f>
        <v>67.226890756302524</v>
      </c>
      <c r="F10" s="107">
        <f>+($F$5*F8)/F9</f>
        <v>30.075187969924812</v>
      </c>
      <c r="G10" s="107">
        <f>+($F$5*G8)/G9</f>
        <v>11.299435028248588</v>
      </c>
      <c r="H10" s="490" t="s">
        <v>90</v>
      </c>
      <c r="I10" s="490"/>
    </row>
    <row r="11" spans="1:9" ht="12.75" customHeight="1" x14ac:dyDescent="0.25">
      <c r="A11" s="22"/>
      <c r="B11" s="145" t="s">
        <v>68</v>
      </c>
      <c r="C11" s="104">
        <v>180</v>
      </c>
      <c r="D11" s="105">
        <v>104</v>
      </c>
      <c r="E11" s="105">
        <v>78</v>
      </c>
      <c r="F11" s="105">
        <v>52</v>
      </c>
      <c r="G11" s="105">
        <v>39</v>
      </c>
      <c r="H11" s="490"/>
      <c r="I11" s="490"/>
    </row>
    <row r="12" spans="1:9" ht="12.75" customHeight="1" thickBot="1" x14ac:dyDescent="0.3">
      <c r="A12" s="22"/>
      <c r="B12" s="115" t="s">
        <v>84</v>
      </c>
      <c r="C12" s="138">
        <v>12</v>
      </c>
      <c r="D12" s="138">
        <v>13</v>
      </c>
      <c r="E12" s="105">
        <v>13</v>
      </c>
      <c r="F12" s="105">
        <v>13</v>
      </c>
      <c r="G12" s="105">
        <v>13</v>
      </c>
      <c r="H12" s="490"/>
      <c r="I12" s="490"/>
    </row>
    <row r="13" spans="1:9" ht="18.75" hidden="1" customHeight="1" x14ac:dyDescent="0.25">
      <c r="A13" s="22"/>
      <c r="B13" s="116" t="s">
        <v>64</v>
      </c>
      <c r="C13" s="138">
        <v>12</v>
      </c>
      <c r="D13" s="138">
        <v>13</v>
      </c>
      <c r="E13" s="105">
        <v>13</v>
      </c>
      <c r="F13" s="105">
        <v>13</v>
      </c>
      <c r="G13" s="105">
        <v>13</v>
      </c>
      <c r="H13" s="490"/>
      <c r="I13" s="490"/>
    </row>
    <row r="14" spans="1:9" ht="18.75" hidden="1" customHeight="1" thickBot="1" x14ac:dyDescent="0.3">
      <c r="A14" s="22"/>
      <c r="B14" s="116" t="s">
        <v>65</v>
      </c>
      <c r="C14" s="138">
        <v>12</v>
      </c>
      <c r="D14" s="138">
        <v>13</v>
      </c>
      <c r="E14" s="105">
        <v>13</v>
      </c>
      <c r="F14" s="105">
        <v>13</v>
      </c>
      <c r="G14" s="105">
        <v>13</v>
      </c>
      <c r="H14" s="490"/>
      <c r="I14" s="490"/>
    </row>
    <row r="15" spans="1:9" ht="18" customHeight="1" thickBot="1" x14ac:dyDescent="0.3">
      <c r="A15" s="22"/>
      <c r="B15" s="52" t="s">
        <v>69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0</v>
      </c>
      <c r="E15" s="65">
        <f>IF(MOD(E10+E13,E11)&lt;=E13,1+ROUNDDOWN(E10/E11,0),ROUNDDOWN(E10/E11,0))</f>
        <v>1</v>
      </c>
      <c r="F15" s="65">
        <f>IF(MOD(F10+F13,F11)&lt;=F13,1+ROUNDDOWN(F10/F11,0),ROUNDDOWN(F10/F11,0))</f>
        <v>0</v>
      </c>
      <c r="G15" s="65">
        <f>IF(MOD(G10+G13,G11)&lt;=G13,1+ROUNDDOWN(G10/G11,0),ROUNDDOWN(G10/G11,0))</f>
        <v>0</v>
      </c>
      <c r="H15" s="490"/>
      <c r="I15" s="490"/>
    </row>
    <row r="16" spans="1:9" ht="18" customHeight="1" thickBot="1" x14ac:dyDescent="0.3">
      <c r="A16" s="22"/>
      <c r="B16" s="139" t="s">
        <v>85</v>
      </c>
      <c r="C16" s="119">
        <f>IF(ROUNDUP((C10-(C11*C15))/C12,0)&lt;0,0,ROUNDUP((C10-(C11*C15))/C12,0))</f>
        <v>4</v>
      </c>
      <c r="D16" s="119">
        <f>IF(ROUNDUP((D10-(D11*D15))/D12,0)&lt;0,0,ROUNDUP((D10-(D11*D15))/D12,0))</f>
        <v>4</v>
      </c>
      <c r="E16" s="131">
        <f>IF(ROUNDUP((E10-(E11*E15))/E12,0)&lt;0,0,ROUNDUP((E10-(E11*E15))/E12,0))</f>
        <v>0</v>
      </c>
      <c r="F16" s="131">
        <f>IF(ROUNDUP((F10-(F11*F15))/F12,0)&lt;0,0,ROUNDUP((F10-(F11*F15))/F12,0))</f>
        <v>3</v>
      </c>
      <c r="G16" s="131">
        <f>IF(ROUNDUP((G10-(G11*G15))/G12,0)&lt;0,0,ROUNDUP((G10-(G11*G15))/G12,0))</f>
        <v>1</v>
      </c>
    </row>
    <row r="17" spans="1:232" ht="18" customHeight="1" x14ac:dyDescent="0.25">
      <c r="A17" s="22"/>
      <c r="B17" s="140" t="s">
        <v>66</v>
      </c>
      <c r="C17" s="123">
        <f>(C15*C11)+(ROUNDUP(C16/2,0)*C13)+(ROUNDDOWN(C16/2,0)*C14)</f>
        <v>48</v>
      </c>
      <c r="D17" s="123">
        <f>(D15*D11)+(ROUNDUP(D16/2,0)*D13)+(ROUNDDOWN(D16/2,0)*D14)</f>
        <v>52</v>
      </c>
      <c r="E17" s="132">
        <f>(E15*E11)+(ROUNDUP(E16/2,0)*E13)+(ROUNDDOWN(E16/2,0)*E14)</f>
        <v>78</v>
      </c>
      <c r="F17" s="132">
        <f>(F15*F11)+(ROUNDUP(F16/2,0)*F13)+(ROUNDDOWN(F16/2,0)*F14)</f>
        <v>39</v>
      </c>
      <c r="G17" s="132">
        <f>(G15*G11)+(ROUNDUP(G16/2,0)*G13)+(ROUNDDOWN(G16/2,0)*G14)</f>
        <v>13</v>
      </c>
    </row>
    <row r="18" spans="1:232" ht="12.75" customHeight="1" x14ac:dyDescent="0.25">
      <c r="A18" s="22"/>
      <c r="B18" s="144" t="s">
        <v>71</v>
      </c>
      <c r="C18" s="25">
        <f>C11*C19</f>
        <v>2737.8</v>
      </c>
      <c r="D18" s="25">
        <f>D11*D19</f>
        <v>3004.04</v>
      </c>
      <c r="E18" s="25">
        <f>E11*E19</f>
        <v>3198.7799999999997</v>
      </c>
      <c r="F18" s="25">
        <f>F11*F19</f>
        <v>3118.96</v>
      </c>
      <c r="G18" s="25">
        <f>G11*G19</f>
        <v>3164.46</v>
      </c>
    </row>
    <row r="19" spans="1:232" ht="12.75" customHeight="1" x14ac:dyDescent="0.25">
      <c r="A19" s="22"/>
      <c r="B19" s="266" t="s">
        <v>70</v>
      </c>
      <c r="C19" s="32">
        <v>15.21</v>
      </c>
      <c r="D19" s="32">
        <v>28.885000000000002</v>
      </c>
      <c r="E19" s="32">
        <v>41.01</v>
      </c>
      <c r="F19" s="32">
        <v>59.98</v>
      </c>
      <c r="G19" s="32">
        <v>81.14</v>
      </c>
    </row>
    <row r="20" spans="1:232" ht="12.75" hidden="1" customHeight="1" x14ac:dyDescent="0.25">
      <c r="A20" s="22"/>
      <c r="B20" s="24" t="s">
        <v>72</v>
      </c>
      <c r="C20" s="25">
        <f>+C17*C9</f>
        <v>21.6</v>
      </c>
      <c r="D20" s="25">
        <f>+D17*D9</f>
        <v>44.199999999999996</v>
      </c>
      <c r="E20" s="25">
        <f>+E17*E9</f>
        <v>92.82</v>
      </c>
      <c r="F20" s="25">
        <f>+F17*F9</f>
        <v>51.870000000000005</v>
      </c>
      <c r="G20" s="25">
        <f>+G17*G9</f>
        <v>23.01</v>
      </c>
    </row>
    <row r="21" spans="1:232" ht="12.75" customHeight="1" x14ac:dyDescent="0.25">
      <c r="A21" s="22"/>
      <c r="B21" s="24"/>
      <c r="C21" s="25"/>
      <c r="D21" s="25"/>
      <c r="E21" s="25"/>
      <c r="F21" s="25"/>
      <c r="G21" s="25"/>
    </row>
    <row r="22" spans="1:232" ht="12.75" customHeight="1" x14ac:dyDescent="0.25">
      <c r="A22" s="22"/>
      <c r="B22" s="86" t="s">
        <v>89</v>
      </c>
      <c r="C22" s="25"/>
      <c r="D22" s="25"/>
      <c r="E22" s="25"/>
      <c r="F22" s="25"/>
      <c r="G22" s="25"/>
    </row>
    <row r="23" spans="1:232" ht="12.75" customHeight="1" x14ac:dyDescent="0.25">
      <c r="A23" s="22"/>
      <c r="B23" s="87" t="s">
        <v>50</v>
      </c>
      <c r="C23" s="22"/>
      <c r="D23" s="22"/>
      <c r="E23" s="22"/>
      <c r="F23" s="22"/>
      <c r="G23" s="22"/>
      <c r="H23" s="22"/>
    </row>
    <row r="24" spans="1:232" ht="18" customHeight="1" x14ac:dyDescent="0.25">
      <c r="A24" s="44"/>
      <c r="B24" s="44"/>
      <c r="C24" s="267" t="s">
        <v>93</v>
      </c>
      <c r="D24" s="234">
        <f>SUM(C20:G20)</f>
        <v>233.5</v>
      </c>
      <c r="E24" s="244" t="s">
        <v>104</v>
      </c>
      <c r="F24" s="45"/>
      <c r="G24" s="44"/>
      <c r="H24" s="44"/>
      <c r="I24" s="46"/>
      <c r="L24" s="22"/>
    </row>
    <row r="25" spans="1:232" ht="18" customHeight="1" x14ac:dyDescent="0.25">
      <c r="A25" s="39"/>
      <c r="B25" s="39"/>
      <c r="C25" s="69" t="s">
        <v>95</v>
      </c>
      <c r="D25" s="70">
        <f>ROUND(+D24/30,0)</f>
        <v>8</v>
      </c>
      <c r="E25" s="245" t="s">
        <v>4</v>
      </c>
      <c r="F25" s="40"/>
      <c r="G25" s="39"/>
      <c r="H25" s="39"/>
      <c r="I25" s="35"/>
    </row>
    <row r="26" spans="1:232" ht="12.75" customHeight="1" x14ac:dyDescent="0.25">
      <c r="A26" s="39"/>
      <c r="B26" s="487" t="s">
        <v>8</v>
      </c>
      <c r="C26" s="487"/>
      <c r="D26" s="487"/>
      <c r="E26" s="487"/>
      <c r="F26" s="487"/>
      <c r="G26" s="487"/>
      <c r="H26" s="487"/>
      <c r="I26" s="35"/>
    </row>
    <row r="27" spans="1:232" ht="18" customHeight="1" x14ac:dyDescent="0.25">
      <c r="A27" s="44"/>
      <c r="B27" s="44"/>
      <c r="C27" s="243" t="s">
        <v>96</v>
      </c>
      <c r="D27" s="234">
        <f>SUM(C17*C19+D17*D19+E17*E19+F17*F19+G17*G19)</f>
        <v>8824.9199999999983</v>
      </c>
      <c r="E27" s="244" t="s">
        <v>3</v>
      </c>
      <c r="F27" s="45"/>
      <c r="G27" s="44"/>
      <c r="H27" s="44"/>
      <c r="I27" s="46"/>
    </row>
    <row r="28" spans="1:232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</row>
    <row r="29" spans="1:232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</row>
    <row r="30" spans="1:232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</row>
    <row r="31" spans="1:232" s="17" customFormat="1" ht="17.399999999999999" x14ac:dyDescent="0.25">
      <c r="A31" s="23"/>
      <c r="B31" s="23"/>
      <c r="C31" s="23"/>
      <c r="D31" s="23"/>
      <c r="E31" s="23"/>
      <c r="F31" s="23"/>
      <c r="G31" s="23"/>
      <c r="H31" s="23"/>
      <c r="I31" s="223" t="s">
        <v>9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</row>
    <row r="32" spans="1:232" s="17" customFormat="1" x14ac:dyDescent="0.25">
      <c r="A32" s="23"/>
      <c r="B32" s="23"/>
      <c r="C32" s="23"/>
      <c r="D32" s="23"/>
      <c r="E32" s="23"/>
      <c r="F32" s="23"/>
      <c r="G32" s="23"/>
      <c r="H32" s="23"/>
      <c r="I32" s="11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</row>
    <row r="33" spans="1:232" s="17" customFormat="1" x14ac:dyDescent="0.25">
      <c r="A33" s="23"/>
      <c r="B33" s="23"/>
      <c r="C33" s="23"/>
      <c r="D33" s="23"/>
      <c r="E33" s="23"/>
      <c r="F33" s="23"/>
      <c r="G33" s="23"/>
      <c r="H33" s="23"/>
      <c r="I33" s="224" t="s">
        <v>56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</row>
    <row r="34" spans="1:232" s="17" customFormat="1" x14ac:dyDescent="0.25">
      <c r="A34" s="23"/>
      <c r="B34" s="23"/>
      <c r="C34" s="23"/>
      <c r="D34" s="23"/>
      <c r="E34" s="23"/>
      <c r="F34" s="23"/>
      <c r="G34" s="23"/>
      <c r="H34" s="23"/>
      <c r="I34" s="199" t="s">
        <v>55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</row>
    <row r="35" spans="1:232" s="17" customFormat="1" x14ac:dyDescent="0.25">
      <c r="A35" s="23"/>
      <c r="B35" s="23"/>
      <c r="C35" s="23"/>
      <c r="D35" s="23"/>
      <c r="E35" s="23"/>
      <c r="F35" s="23"/>
      <c r="G35" s="23"/>
      <c r="H35" s="23"/>
      <c r="I35" s="246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</row>
    <row r="36" spans="1:232" s="17" customFormat="1" x14ac:dyDescent="0.25">
      <c r="A36" s="23"/>
      <c r="B36" s="23"/>
      <c r="C36" s="23"/>
      <c r="D36" s="23"/>
      <c r="E36" s="23"/>
      <c r="F36" s="23"/>
      <c r="G36" s="23"/>
      <c r="H36" s="23"/>
      <c r="I36" s="199" t="s">
        <v>6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</row>
    <row r="37" spans="1:232" s="17" customFormat="1" x14ac:dyDescent="0.25">
      <c r="A37" s="23"/>
      <c r="B37" s="23"/>
      <c r="C37" s="23"/>
      <c r="D37" s="23"/>
      <c r="E37" s="23"/>
      <c r="F37" s="23"/>
      <c r="G37" s="23"/>
      <c r="H37" s="23"/>
      <c r="I37" s="199" t="s">
        <v>59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</row>
    <row r="38" spans="1:232" s="17" customFormat="1" x14ac:dyDescent="0.25">
      <c r="A38" s="23"/>
      <c r="B38" s="23"/>
      <c r="C38" s="23"/>
      <c r="D38" s="23"/>
      <c r="E38" s="23"/>
      <c r="F38" s="23"/>
      <c r="G38" s="23"/>
      <c r="H38" s="23"/>
      <c r="I38" s="199" t="s">
        <v>10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</row>
    <row r="39" spans="1:232" s="17" customFormat="1" x14ac:dyDescent="0.25">
      <c r="A39" s="23"/>
      <c r="B39" s="23"/>
      <c r="C39" s="23"/>
      <c r="D39" s="23"/>
      <c r="E39" s="23"/>
      <c r="F39" s="23"/>
      <c r="G39" s="23"/>
      <c r="H39" s="23"/>
      <c r="I39" s="225" t="s">
        <v>7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</row>
    <row r="40" spans="1:232" s="17" customForma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</row>
    <row r="41" spans="1:232" s="17" customForma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</row>
    <row r="42" spans="1:232" s="17" customForma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</row>
    <row r="43" spans="1:232" s="17" customForma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</row>
    <row r="44" spans="1:232" s="17" customForma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</row>
    <row r="45" spans="1:232" s="17" customForma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</row>
    <row r="46" spans="1:232" ht="21" customHeight="1" x14ac:dyDescent="0.3">
      <c r="B46" s="15" t="s">
        <v>16</v>
      </c>
      <c r="C46" s="114"/>
      <c r="D46" s="114"/>
      <c r="E46" s="114"/>
      <c r="F46" s="114"/>
      <c r="G46" s="114"/>
      <c r="H46" s="114"/>
      <c r="I46" s="114"/>
    </row>
    <row r="47" spans="1:232" ht="21" customHeight="1" x14ac:dyDescent="0.25">
      <c r="B47" s="13"/>
      <c r="C47" s="112"/>
      <c r="D47" s="112"/>
      <c r="E47" s="112"/>
      <c r="F47" s="112"/>
      <c r="G47" s="112"/>
      <c r="H47" s="112"/>
      <c r="I47" s="112"/>
    </row>
    <row r="48" spans="1:232" ht="21" customHeight="1" x14ac:dyDescent="0.25">
      <c r="B48" s="11"/>
      <c r="C48" s="112"/>
      <c r="D48" s="112"/>
      <c r="E48" s="112"/>
      <c r="F48" s="112"/>
      <c r="G48" s="112"/>
      <c r="H48" s="112"/>
      <c r="I48" s="112"/>
    </row>
  </sheetData>
  <sheetProtection algorithmName="SHA-512" hashValue="+YVQsNMCpDpjTHN5QPV2IR1QktXfUU9mDpsJC9ZhPVtFTsdlYyqkRHwijC4jByC5ylZVGs3+wU+mjJE9QlliXQ==" saltValue="hZ+jHGACj3cdzUNS6xh1dA==" spinCount="100000" sheet="1" selectLockedCells="1"/>
  <mergeCells count="3">
    <mergeCell ref="A1:I1"/>
    <mergeCell ref="H10:I15"/>
    <mergeCell ref="B26:H26"/>
  </mergeCells>
  <phoneticPr fontId="0" type="noConversion"/>
  <dataValidations count="1"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F4" xr:uid="{00000000-0002-0000-1000-000000000000}">
      <formula1>5</formula1>
      <formula2>100</formula2>
    </dataValidation>
  </dataValidations>
  <hyperlinks>
    <hyperlink ref="I38" r:id="rId1" xr:uid="{00000000-0004-0000-1000-000000000000}"/>
    <hyperlink ref="I37" r:id="rId2" xr:uid="{00000000-0004-0000-1000-000001000000}"/>
    <hyperlink ref="I36" r:id="rId3" xr:uid="{00000000-0004-0000-1000-000002000000}"/>
    <hyperlink ref="I34" r:id="rId4" xr:uid="{00000000-0004-0000-10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2">
    <tabColor rgb="FFC00000"/>
  </sheetPr>
  <dimension ref="A1:R48"/>
  <sheetViews>
    <sheetView showGridLines="0" showRowColHeaders="0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12" t="s">
        <v>208</v>
      </c>
      <c r="B1" s="512"/>
      <c r="C1" s="512"/>
      <c r="D1" s="512"/>
      <c r="E1" s="512"/>
      <c r="F1" s="512"/>
      <c r="G1" s="512"/>
      <c r="H1" s="512"/>
    </row>
    <row r="2" spans="1:8" ht="12.75" customHeight="1" x14ac:dyDescent="0.25"/>
    <row r="3" spans="1:8" ht="18" customHeight="1" x14ac:dyDescent="0.3">
      <c r="B3" s="41"/>
      <c r="C3" s="36"/>
      <c r="D3" s="94" t="s">
        <v>87</v>
      </c>
      <c r="E3" s="96">
        <v>200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86</v>
      </c>
      <c r="E5" s="344">
        <f>E3+E3*E4/100</f>
        <v>200</v>
      </c>
      <c r="F5" s="3"/>
      <c r="G5" s="3"/>
      <c r="H5" s="3"/>
    </row>
    <row r="6" spans="1:8" ht="12.75" customHeight="1" x14ac:dyDescent="0.25">
      <c r="B6" s="12"/>
      <c r="C6" s="200"/>
      <c r="D6" s="200"/>
      <c r="E6" s="200"/>
    </row>
    <row r="7" spans="1:8" ht="18" customHeight="1" thickBot="1" x14ac:dyDescent="0.35">
      <c r="B7" s="201" t="s">
        <v>0</v>
      </c>
      <c r="C7" s="457" t="s">
        <v>301</v>
      </c>
      <c r="D7" s="227" t="s">
        <v>53</v>
      </c>
      <c r="E7" s="458" t="s">
        <v>302</v>
      </c>
      <c r="F7" s="229"/>
      <c r="G7" s="1"/>
      <c r="H7" s="1"/>
    </row>
    <row r="8" spans="1:8" ht="18" customHeight="1" thickTop="1" x14ac:dyDescent="0.3">
      <c r="B8" s="204" t="s">
        <v>11</v>
      </c>
      <c r="C8" s="153">
        <v>0.2</v>
      </c>
      <c r="D8" s="154">
        <v>0.5</v>
      </c>
      <c r="E8" s="153">
        <v>0.3</v>
      </c>
      <c r="F8" s="74">
        <f>SUM(B8,C8,D8,E8)</f>
        <v>1</v>
      </c>
      <c r="G8" s="1"/>
      <c r="H8" s="1"/>
    </row>
    <row r="9" spans="1:8" ht="18.75" hidden="1" customHeight="1" x14ac:dyDescent="0.25">
      <c r="B9" s="205" t="s">
        <v>67</v>
      </c>
      <c r="C9" s="206">
        <v>0.56999999999999995</v>
      </c>
      <c r="D9" s="230">
        <v>0.85</v>
      </c>
      <c r="E9" s="206">
        <v>1.19</v>
      </c>
      <c r="F9" s="203"/>
    </row>
    <row r="10" spans="1:8" ht="12.75" customHeight="1" x14ac:dyDescent="0.25">
      <c r="B10" s="207" t="s">
        <v>1</v>
      </c>
      <c r="C10" s="208">
        <f>+(E5*C8)/C9</f>
        <v>70.175438596491233</v>
      </c>
      <c r="D10" s="231">
        <f>+(E5*D8)/D9</f>
        <v>117.64705882352942</v>
      </c>
      <c r="E10" s="208">
        <f>+(E5*E8)/E9</f>
        <v>50.420168067226896</v>
      </c>
      <c r="F10" s="203"/>
      <c r="G10" s="490" t="s">
        <v>209</v>
      </c>
      <c r="H10" s="490"/>
    </row>
    <row r="11" spans="1:8" ht="12.75" customHeight="1" x14ac:dyDescent="0.25">
      <c r="B11" s="209" t="s">
        <v>68</v>
      </c>
      <c r="C11" s="206">
        <v>180</v>
      </c>
      <c r="D11" s="230">
        <v>104</v>
      </c>
      <c r="E11" s="206">
        <v>78</v>
      </c>
      <c r="F11" s="232"/>
      <c r="G11" s="490"/>
      <c r="H11" s="490"/>
    </row>
    <row r="12" spans="1:8" ht="12.75" customHeight="1" thickBot="1" x14ac:dyDescent="0.3">
      <c r="B12" s="115" t="s">
        <v>84</v>
      </c>
      <c r="C12" s="138">
        <v>13</v>
      </c>
      <c r="D12" s="138">
        <v>13</v>
      </c>
      <c r="E12" s="105">
        <v>13</v>
      </c>
      <c r="F12" s="232"/>
      <c r="G12" s="490"/>
      <c r="H12" s="490"/>
    </row>
    <row r="13" spans="1:8" ht="18.75" hidden="1" customHeight="1" x14ac:dyDescent="0.25">
      <c r="B13" s="116" t="s">
        <v>64</v>
      </c>
      <c r="C13" s="138">
        <v>13</v>
      </c>
      <c r="D13" s="138">
        <v>13</v>
      </c>
      <c r="E13" s="105">
        <v>13</v>
      </c>
      <c r="F13" s="232"/>
      <c r="G13" s="490"/>
      <c r="H13" s="490"/>
    </row>
    <row r="14" spans="1:8" ht="18.75" hidden="1" customHeight="1" thickBot="1" x14ac:dyDescent="0.3">
      <c r="B14" s="116" t="s">
        <v>65</v>
      </c>
      <c r="C14" s="138">
        <v>13</v>
      </c>
      <c r="D14" s="138">
        <v>13</v>
      </c>
      <c r="E14" s="105">
        <v>13</v>
      </c>
      <c r="F14" s="232"/>
      <c r="G14" s="490"/>
      <c r="H14" s="490"/>
    </row>
    <row r="15" spans="1:8" ht="18" customHeight="1" thickBot="1" x14ac:dyDescent="0.3">
      <c r="B15" s="52" t="s">
        <v>69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0</v>
      </c>
      <c r="F15" s="232"/>
      <c r="G15" s="490"/>
      <c r="H15" s="490"/>
    </row>
    <row r="16" spans="1:8" ht="18" customHeight="1" thickBot="1" x14ac:dyDescent="0.3">
      <c r="B16" s="139" t="s">
        <v>85</v>
      </c>
      <c r="C16" s="119">
        <f>IF(ROUNDUP((C10-(C11*C15))/C12,0)&lt;0,0,ROUNDUP((C10-(C11*C15))/C12,0))</f>
        <v>6</v>
      </c>
      <c r="D16" s="119">
        <f>IF(ROUNDUP((D10-(D11*D15))/D12,0)&lt;0,0,ROUNDUP((D10-(D11*D15))/D12,0))</f>
        <v>2</v>
      </c>
      <c r="E16" s="119">
        <f>IF(ROUNDUP((E10-(E11*E15))/E12,0)&lt;0,0,ROUNDUP((E10-(E11*E15))/E12,0))</f>
        <v>4</v>
      </c>
      <c r="F16" s="516" t="s">
        <v>210</v>
      </c>
      <c r="G16" s="516"/>
      <c r="H16" s="516"/>
    </row>
    <row r="17" spans="1:18" ht="18" customHeight="1" x14ac:dyDescent="0.25">
      <c r="B17" s="140" t="s">
        <v>66</v>
      </c>
      <c r="C17" s="123">
        <f>(C15*C11)+(ROUNDUP(C16/2,0)*C13)+(ROUNDDOWN(C16/2,0)*C14)</f>
        <v>78</v>
      </c>
      <c r="D17" s="123">
        <f>(D15*D11)+(ROUNDUP(D16/2,0)*D13)+(ROUNDDOWN(D16/2,0)*D14)</f>
        <v>130</v>
      </c>
      <c r="E17" s="123">
        <f>(E15*E11)+(ROUNDUP(E16/2,0)*E13)+(ROUNDDOWN(E16/2,0)*E14)</f>
        <v>52</v>
      </c>
      <c r="F17" s="232"/>
    </row>
    <row r="18" spans="1:18" ht="12.75" customHeight="1" x14ac:dyDescent="0.25">
      <c r="B18" s="143" t="s">
        <v>71</v>
      </c>
      <c r="C18" s="78">
        <f>C11*C19</f>
        <v>3691.1699999999996</v>
      </c>
      <c r="D18" s="78">
        <f>D11*D19</f>
        <v>3324.88</v>
      </c>
      <c r="E18" s="78">
        <f>E11*E19</f>
        <v>3371.16</v>
      </c>
    </row>
    <row r="19" spans="1:18" ht="12.75" customHeight="1" x14ac:dyDescent="0.25">
      <c r="B19" s="217" t="s">
        <v>70</v>
      </c>
      <c r="C19" s="236">
        <v>20.506499999999999</v>
      </c>
      <c r="D19" s="236">
        <v>31.97</v>
      </c>
      <c r="E19" s="236">
        <v>43.22</v>
      </c>
    </row>
    <row r="20" spans="1:18" ht="12.75" hidden="1" customHeight="1" x14ac:dyDescent="0.25">
      <c r="B20" s="219" t="s">
        <v>72</v>
      </c>
      <c r="C20" s="78">
        <f>+C17*C9</f>
        <v>44.459999999999994</v>
      </c>
      <c r="D20" s="78">
        <f>+D17*D9</f>
        <v>110.5</v>
      </c>
      <c r="E20" s="78">
        <f>+E17*E9</f>
        <v>61.879999999999995</v>
      </c>
    </row>
    <row r="21" spans="1:18" ht="12.75" customHeight="1" x14ac:dyDescent="0.25">
      <c r="B21" s="219"/>
      <c r="C21" s="78"/>
      <c r="D21" s="78"/>
      <c r="E21" s="78"/>
    </row>
    <row r="22" spans="1:18" ht="12.75" customHeight="1" x14ac:dyDescent="0.25">
      <c r="B22" s="86" t="s">
        <v>89</v>
      </c>
      <c r="C22" s="78"/>
      <c r="D22" s="78"/>
      <c r="E22" s="78"/>
    </row>
    <row r="23" spans="1:18" ht="12.75" customHeight="1" x14ac:dyDescent="0.25">
      <c r="B23" s="87" t="s">
        <v>50</v>
      </c>
    </row>
    <row r="24" spans="1:18" ht="18" customHeight="1" x14ac:dyDescent="0.25">
      <c r="A24" s="46"/>
      <c r="B24" s="237"/>
      <c r="C24" s="233" t="s">
        <v>93</v>
      </c>
      <c r="D24" s="234">
        <f>SUM(C20:E20)</f>
        <v>216.83999999999997</v>
      </c>
      <c r="E24" s="235" t="s">
        <v>51</v>
      </c>
      <c r="F24" s="237"/>
      <c r="G24" s="237"/>
      <c r="H24" s="46"/>
    </row>
    <row r="25" spans="1:18" ht="18" customHeight="1" x14ac:dyDescent="0.25">
      <c r="A25" s="35"/>
      <c r="B25" s="151"/>
      <c r="C25" s="220" t="s">
        <v>12</v>
      </c>
      <c r="D25" s="70">
        <f>ROUND(+D24/35,0)</f>
        <v>6</v>
      </c>
      <c r="E25" s="222" t="s">
        <v>4</v>
      </c>
      <c r="F25" s="151"/>
      <c r="G25" s="151"/>
      <c r="H25" s="35"/>
    </row>
    <row r="26" spans="1:18" ht="12.75" customHeight="1" x14ac:dyDescent="0.25">
      <c r="A26" s="39"/>
      <c r="B26" s="487" t="s">
        <v>8</v>
      </c>
      <c r="C26" s="487"/>
      <c r="D26" s="487"/>
      <c r="E26" s="487"/>
      <c r="F26" s="487"/>
      <c r="G26" s="487"/>
      <c r="H26" s="35"/>
    </row>
    <row r="27" spans="1:18" ht="18" customHeight="1" x14ac:dyDescent="0.25">
      <c r="A27" s="46"/>
      <c r="B27" s="237"/>
      <c r="C27" s="233" t="s">
        <v>96</v>
      </c>
      <c r="D27" s="234">
        <f>SUM(C17*C19+D17*D19+E17*E19)</f>
        <v>8003.0469999999987</v>
      </c>
      <c r="E27" s="235" t="s">
        <v>3</v>
      </c>
      <c r="F27" s="237"/>
      <c r="G27" s="237"/>
      <c r="H27" s="46"/>
    </row>
    <row r="28" spans="1:18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7.399999999999999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s="17" customFormat="1" ht="12.75" customHeigh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7" customFormat="1" ht="12.75" customHeight="1" x14ac:dyDescent="0.25">
      <c r="A33" s="23"/>
      <c r="B33" s="23"/>
      <c r="C33" s="23"/>
      <c r="D33" s="23"/>
      <c r="E33" s="23"/>
      <c r="F33" s="23"/>
      <c r="G33" s="23"/>
      <c r="H33" s="224" t="s">
        <v>56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99" t="s">
        <v>55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199" t="s">
        <v>106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59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17" customFormat="1" ht="12.75" customHeight="1" x14ac:dyDescent="0.25">
      <c r="A40" s="23"/>
      <c r="B40" s="23"/>
      <c r="C40" s="23"/>
      <c r="D40" s="23"/>
      <c r="E40"/>
      <c r="F40"/>
      <c r="G40"/>
      <c r="H40"/>
      <c r="I40"/>
      <c r="J40" s="23"/>
      <c r="K40" s="23"/>
      <c r="L40" s="23"/>
      <c r="M40" s="23"/>
      <c r="N40" s="23"/>
      <c r="O40" s="23"/>
      <c r="P40" s="23"/>
      <c r="Q40" s="23"/>
      <c r="R40" s="23"/>
    </row>
    <row r="41" spans="1:18" s="17" customFormat="1" ht="12.75" customHeight="1" x14ac:dyDescent="0.25">
      <c r="A41" s="23"/>
      <c r="B41" s="23"/>
      <c r="C41" s="23"/>
      <c r="D41" s="23"/>
      <c r="E41"/>
      <c r="F41"/>
      <c r="G41"/>
      <c r="H41"/>
      <c r="I41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7" customFormat="1" ht="12.75" customHeight="1" x14ac:dyDescent="0.25">
      <c r="A42" s="23"/>
      <c r="B42" s="23"/>
      <c r="C42" s="23"/>
      <c r="D42" s="23"/>
      <c r="E42"/>
      <c r="F42"/>
      <c r="G42"/>
      <c r="H42"/>
      <c r="I42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ht="12.75" customHeight="1" x14ac:dyDescent="0.25"/>
    <row r="46" spans="1:1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1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18" ht="21" customHeight="1" x14ac:dyDescent="0.25">
      <c r="A48" s="13"/>
      <c r="B48" s="11"/>
      <c r="C48" s="112"/>
      <c r="D48" s="112"/>
      <c r="E48" s="112"/>
      <c r="F48" s="112"/>
      <c r="G48" s="112"/>
      <c r="H48" s="112"/>
    </row>
  </sheetData>
  <sheetProtection algorithmName="SHA-512" hashValue="RbfZ6Jbz4bcu5dGmnbRanJOPgTHBtaEyQqQpgm10TZqUdKCsXvYo1BI36QmeAkbc7OqveFxeACQghWuzT4Y7Lw==" saltValue="CQIIRXfjQpfil0tft8u5oA==" spinCount="100000" sheet="1" selectLockedCells="1"/>
  <mergeCells count="4">
    <mergeCell ref="A1:H1"/>
    <mergeCell ref="G10:H15"/>
    <mergeCell ref="B26:G26"/>
    <mergeCell ref="F16:H16"/>
  </mergeCells>
  <dataValidations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1800-000000000000}"/>
  </dataValidations>
  <hyperlinks>
    <hyperlink ref="Q24" r:id="rId1" display="Mason's Instructions - English" xr:uid="{00000000-0004-0000-1800-000000000000}"/>
    <hyperlink ref="Q25" r:id="rId2" display="Mason's Instructions - French" xr:uid="{00000000-0004-0000-1800-000001000000}"/>
    <hyperlink ref="H38" r:id="rId3" xr:uid="{00000000-0004-0000-1800-000002000000}"/>
    <hyperlink ref="H37" r:id="rId4" xr:uid="{00000000-0004-0000-1800-000003000000}"/>
    <hyperlink ref="H36" r:id="rId5" xr:uid="{00000000-0004-0000-1800-000004000000}"/>
    <hyperlink ref="H34" r:id="rId6" xr:uid="{00000000-0004-0000-1800-000005000000}"/>
    <hyperlink ref="H35" r:id="rId7" display="Mason's Instructions - French" xr:uid="{00000000-0004-0000-1800-000006000000}"/>
  </hyperlinks>
  <pageMargins left="0.75" right="0.75" top="1" bottom="1" header="0.5" footer="0.5"/>
  <pageSetup orientation="portrait" r:id="rId8"/>
  <headerFooter alignWithMargins="0"/>
  <drawing r:id="rId9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3">
    <tabColor rgb="FFC00000"/>
  </sheetPr>
  <dimension ref="A1:R48"/>
  <sheetViews>
    <sheetView showGridLines="0" showRowColHeaders="0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12" t="s">
        <v>273</v>
      </c>
      <c r="B1" s="512"/>
      <c r="C1" s="512"/>
      <c r="D1" s="512"/>
      <c r="E1" s="512"/>
      <c r="F1" s="512"/>
      <c r="G1" s="512"/>
      <c r="H1" s="512"/>
    </row>
    <row r="2" spans="1:8" ht="12.75" customHeight="1" x14ac:dyDescent="0.25"/>
    <row r="3" spans="1:8" ht="18" customHeight="1" x14ac:dyDescent="0.3">
      <c r="B3" s="41"/>
      <c r="C3" s="36"/>
      <c r="D3" s="94" t="s">
        <v>87</v>
      </c>
      <c r="E3" s="96">
        <v>200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86</v>
      </c>
      <c r="E5" s="344">
        <f>E3+E3*E4/100</f>
        <v>200</v>
      </c>
      <c r="F5" s="3"/>
      <c r="G5" s="3"/>
      <c r="H5" s="3"/>
    </row>
    <row r="6" spans="1:8" ht="12.75" customHeight="1" x14ac:dyDescent="0.25">
      <c r="B6" s="12"/>
      <c r="C6" s="200"/>
      <c r="D6" s="200"/>
      <c r="E6" s="200"/>
    </row>
    <row r="7" spans="1:8" ht="18" customHeight="1" thickBot="1" x14ac:dyDescent="0.35">
      <c r="B7" s="201" t="s">
        <v>0</v>
      </c>
      <c r="C7" s="457" t="s">
        <v>301</v>
      </c>
      <c r="D7" s="227" t="s">
        <v>53</v>
      </c>
      <c r="E7" s="458" t="s">
        <v>302</v>
      </c>
      <c r="F7" s="229"/>
      <c r="G7" s="1"/>
      <c r="H7" s="1"/>
    </row>
    <row r="8" spans="1:8" ht="18" customHeight="1" thickTop="1" x14ac:dyDescent="0.3">
      <c r="B8" s="204" t="s">
        <v>11</v>
      </c>
      <c r="C8" s="153">
        <v>0.22</v>
      </c>
      <c r="D8" s="154">
        <v>0.33</v>
      </c>
      <c r="E8" s="153">
        <v>0.45</v>
      </c>
      <c r="F8" s="74">
        <f>SUM(B8,C8,D8,E8)</f>
        <v>1</v>
      </c>
      <c r="G8" s="1"/>
      <c r="H8" s="1"/>
    </row>
    <row r="9" spans="1:8" ht="18.75" hidden="1" customHeight="1" x14ac:dyDescent="0.25">
      <c r="B9" s="205" t="s">
        <v>67</v>
      </c>
      <c r="C9" s="206">
        <v>0.56999999999999995</v>
      </c>
      <c r="D9" s="230">
        <v>0.85</v>
      </c>
      <c r="E9" s="206">
        <v>1.19</v>
      </c>
      <c r="F9" s="203"/>
    </row>
    <row r="10" spans="1:8" ht="12.75" customHeight="1" x14ac:dyDescent="0.25">
      <c r="B10" s="207" t="s">
        <v>1</v>
      </c>
      <c r="C10" s="208">
        <f>+(E5*C8)/C9</f>
        <v>77.192982456140356</v>
      </c>
      <c r="D10" s="231">
        <f>+(E5*D8)/D9</f>
        <v>77.64705882352942</v>
      </c>
      <c r="E10" s="208">
        <f>+(E5*E8)/E9</f>
        <v>75.630252100840337</v>
      </c>
      <c r="F10" s="203"/>
      <c r="G10" s="490" t="s">
        <v>209</v>
      </c>
      <c r="H10" s="490"/>
    </row>
    <row r="11" spans="1:8" ht="12.75" customHeight="1" x14ac:dyDescent="0.25">
      <c r="B11" s="209" t="s">
        <v>68</v>
      </c>
      <c r="C11" s="206">
        <v>180</v>
      </c>
      <c r="D11" s="230">
        <v>104</v>
      </c>
      <c r="E11" s="206">
        <v>78</v>
      </c>
      <c r="F11" s="232"/>
      <c r="G11" s="490"/>
      <c r="H11" s="490"/>
    </row>
    <row r="12" spans="1:8" ht="12.75" customHeight="1" thickBot="1" x14ac:dyDescent="0.3">
      <c r="B12" s="115" t="s">
        <v>84</v>
      </c>
      <c r="C12" s="138">
        <v>13</v>
      </c>
      <c r="D12" s="138">
        <v>13</v>
      </c>
      <c r="E12" s="105">
        <v>13</v>
      </c>
      <c r="F12" s="232"/>
      <c r="G12" s="490"/>
      <c r="H12" s="490"/>
    </row>
    <row r="13" spans="1:8" ht="18.75" hidden="1" customHeight="1" x14ac:dyDescent="0.25">
      <c r="B13" s="116" t="s">
        <v>64</v>
      </c>
      <c r="C13" s="138">
        <v>13</v>
      </c>
      <c r="D13" s="138">
        <v>13</v>
      </c>
      <c r="E13" s="105">
        <v>13</v>
      </c>
      <c r="F13" s="232"/>
      <c r="G13" s="490"/>
      <c r="H13" s="490"/>
    </row>
    <row r="14" spans="1:8" ht="18.75" hidden="1" customHeight="1" thickBot="1" x14ac:dyDescent="0.3">
      <c r="B14" s="116" t="s">
        <v>65</v>
      </c>
      <c r="C14" s="138">
        <v>13</v>
      </c>
      <c r="D14" s="138">
        <v>13</v>
      </c>
      <c r="E14" s="105">
        <v>13</v>
      </c>
      <c r="F14" s="232"/>
      <c r="G14" s="490"/>
      <c r="H14" s="490"/>
    </row>
    <row r="15" spans="1:8" ht="18" customHeight="1" thickBot="1" x14ac:dyDescent="0.3">
      <c r="B15" s="52" t="s">
        <v>69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0</v>
      </c>
      <c r="E15" s="65">
        <f>IF(MOD(E10+E13,E11)&lt;=E13,1+ROUNDDOWN(E10/E11,0),ROUNDDOWN(E10/E11,0))</f>
        <v>1</v>
      </c>
      <c r="F15" s="232"/>
      <c r="G15" s="490"/>
      <c r="H15" s="490"/>
    </row>
    <row r="16" spans="1:8" ht="18" customHeight="1" thickBot="1" x14ac:dyDescent="0.3">
      <c r="B16" s="139" t="s">
        <v>85</v>
      </c>
      <c r="C16" s="119">
        <f>IF(ROUNDUP((C10-(C11*C15))/C12,0)&lt;0,0,ROUNDUP((C10-(C11*C15))/C12,0))</f>
        <v>6</v>
      </c>
      <c r="D16" s="119">
        <f>IF(ROUNDUP((D10-(D11*D15))/D12,0)&lt;0,0,ROUNDUP((D10-(D11*D15))/D12,0))</f>
        <v>6</v>
      </c>
      <c r="E16" s="119">
        <f>IF(ROUNDUP((E10-(E11*E15))/E12,0)&lt;0,0,ROUNDUP((E10-(E11*E15))/E12,0))</f>
        <v>0</v>
      </c>
      <c r="F16" s="516" t="s">
        <v>210</v>
      </c>
      <c r="G16" s="516"/>
      <c r="H16" s="516"/>
    </row>
    <row r="17" spans="1:18" ht="18" customHeight="1" x14ac:dyDescent="0.25">
      <c r="B17" s="140" t="s">
        <v>66</v>
      </c>
      <c r="C17" s="123">
        <f>(C15*C11)+(ROUNDUP(C16/2,0)*C13)+(ROUNDDOWN(C16/2,0)*C14)</f>
        <v>78</v>
      </c>
      <c r="D17" s="123">
        <f>(D15*D11)+(ROUNDUP(D16/2,0)*D13)+(ROUNDDOWN(D16/2,0)*D14)</f>
        <v>78</v>
      </c>
      <c r="E17" s="123">
        <f>(E15*E11)+(ROUNDUP(E16/2,0)*E13)+(ROUNDDOWN(E16/2,0)*E14)</f>
        <v>78</v>
      </c>
      <c r="F17" s="232"/>
    </row>
    <row r="18" spans="1:18" ht="12.75" customHeight="1" x14ac:dyDescent="0.25">
      <c r="B18" s="143" t="s">
        <v>71</v>
      </c>
      <c r="C18" s="78">
        <f>C11*C19</f>
        <v>2917.8</v>
      </c>
      <c r="D18" s="78">
        <f>D11*D19</f>
        <v>3324.88</v>
      </c>
      <c r="E18" s="78">
        <f>E11*E19</f>
        <v>3285.3599999999997</v>
      </c>
    </row>
    <row r="19" spans="1:18" ht="12.75" customHeight="1" x14ac:dyDescent="0.25">
      <c r="B19" s="217" t="s">
        <v>70</v>
      </c>
      <c r="C19" s="218">
        <v>16.21</v>
      </c>
      <c r="D19" s="218">
        <v>31.97</v>
      </c>
      <c r="E19" s="218">
        <v>42.12</v>
      </c>
    </row>
    <row r="20" spans="1:18" ht="12.75" hidden="1" customHeight="1" x14ac:dyDescent="0.25">
      <c r="B20" s="219" t="s">
        <v>72</v>
      </c>
      <c r="C20" s="78">
        <f>+C17*C9</f>
        <v>44.459999999999994</v>
      </c>
      <c r="D20" s="78">
        <f>+D17*D9</f>
        <v>66.3</v>
      </c>
      <c r="E20" s="78">
        <f>+E17*E9</f>
        <v>92.82</v>
      </c>
    </row>
    <row r="21" spans="1:18" ht="12.75" customHeight="1" x14ac:dyDescent="0.25">
      <c r="B21" s="24"/>
      <c r="C21" s="25"/>
      <c r="D21" s="25"/>
      <c r="E21" s="25"/>
    </row>
    <row r="22" spans="1:18" ht="12.75" customHeight="1" x14ac:dyDescent="0.25">
      <c r="B22" s="86" t="s">
        <v>89</v>
      </c>
      <c r="C22" s="25"/>
      <c r="D22" s="25"/>
      <c r="E22" s="25"/>
    </row>
    <row r="23" spans="1:18" ht="12.75" customHeight="1" x14ac:dyDescent="0.25">
      <c r="B23" s="87" t="s">
        <v>50</v>
      </c>
    </row>
    <row r="24" spans="1:18" ht="18" customHeight="1" x14ac:dyDescent="0.25">
      <c r="A24" s="46"/>
      <c r="B24" s="46"/>
      <c r="C24" s="233" t="s">
        <v>93</v>
      </c>
      <c r="D24" s="234">
        <f>SUM(C20:E20)</f>
        <v>203.57999999999998</v>
      </c>
      <c r="E24" s="235" t="s">
        <v>51</v>
      </c>
      <c r="F24" s="46"/>
      <c r="G24" s="46"/>
      <c r="H24" s="46"/>
    </row>
    <row r="25" spans="1:18" ht="18" customHeight="1" x14ac:dyDescent="0.25">
      <c r="A25" s="35"/>
      <c r="B25" s="35"/>
      <c r="C25" s="220" t="s">
        <v>12</v>
      </c>
      <c r="D25" s="70">
        <f>ROUND(+D24/35,0)</f>
        <v>6</v>
      </c>
      <c r="E25" s="226" t="s">
        <v>4</v>
      </c>
      <c r="F25" s="35"/>
      <c r="G25" s="35"/>
      <c r="H25" s="35"/>
    </row>
    <row r="26" spans="1:18" ht="12.75" customHeight="1" x14ac:dyDescent="0.25">
      <c r="A26" s="39"/>
      <c r="B26" s="487" t="s">
        <v>8</v>
      </c>
      <c r="C26" s="487"/>
      <c r="D26" s="487"/>
      <c r="E26" s="487"/>
      <c r="F26" s="487"/>
      <c r="G26" s="487"/>
      <c r="H26" s="35"/>
    </row>
    <row r="27" spans="1:18" ht="18" customHeight="1" x14ac:dyDescent="0.25">
      <c r="A27" s="46"/>
      <c r="B27" s="46"/>
      <c r="C27" s="233" t="s">
        <v>96</v>
      </c>
      <c r="D27" s="234">
        <f>SUM(C17*C19+D17*D19+E17*E19)</f>
        <v>7043.4</v>
      </c>
      <c r="E27" s="235" t="s">
        <v>3</v>
      </c>
      <c r="F27" s="46"/>
      <c r="G27" s="46"/>
      <c r="H27" s="46"/>
    </row>
    <row r="28" spans="1:18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7.399999999999999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s="17" customForma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7" customFormat="1" x14ac:dyDescent="0.25">
      <c r="A33" s="23"/>
      <c r="B33" s="23"/>
      <c r="C33" s="23"/>
      <c r="D33" s="23"/>
      <c r="E33" s="23"/>
      <c r="F33" s="23"/>
      <c r="G33" s="23"/>
      <c r="H33" s="224" t="s">
        <v>56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s="17" customFormat="1" x14ac:dyDescent="0.25">
      <c r="A34" s="23"/>
      <c r="B34" s="23"/>
      <c r="C34" s="23"/>
      <c r="D34" s="23"/>
      <c r="E34" s="23"/>
      <c r="F34" s="23"/>
      <c r="G34" s="23"/>
      <c r="H34" s="199" t="s">
        <v>55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199" t="s">
        <v>106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59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17" customFormat="1" ht="12.75" customHeight="1" x14ac:dyDescent="0.25">
      <c r="A40" s="23"/>
      <c r="B40" s="23"/>
      <c r="C40" s="23"/>
      <c r="D40" s="23"/>
      <c r="E40" s="23"/>
      <c r="F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1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18" ht="21" customHeight="1" x14ac:dyDescent="0.25">
      <c r="A48" s="13"/>
      <c r="B48" s="11"/>
      <c r="C48" s="112"/>
      <c r="D48" s="112"/>
      <c r="E48" s="112"/>
      <c r="F48" s="112"/>
      <c r="G48" s="112"/>
      <c r="H48" s="112"/>
    </row>
  </sheetData>
  <sheetProtection algorithmName="SHA-512" hashValue="OnK21X58e6rKTPOdnX3dTqjeqJw+id0gjx/ACUvCCln9SGA33xtJlbplvm5tLcmh4Ha3aaFF8FMkuUWSnYzYLw==" saltValue="LTfOVCJVNsWCyL+mvsj7bw==" spinCount="100000" sheet="1" selectLockedCells="1"/>
  <mergeCells count="4">
    <mergeCell ref="A1:H1"/>
    <mergeCell ref="G10:H15"/>
    <mergeCell ref="B26:G26"/>
    <mergeCell ref="F16:H16"/>
  </mergeCells>
  <dataValidations disablePrompts="1" xWindow="532" yWindow="209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1900-000000000000}"/>
  </dataValidations>
  <hyperlinks>
    <hyperlink ref="H35" r:id="rId1" xr:uid="{00000000-0004-0000-1900-000000000000}"/>
    <hyperlink ref="H34" r:id="rId2" xr:uid="{00000000-0004-0000-1900-000001000000}"/>
    <hyperlink ref="H38" r:id="rId3" xr:uid="{00000000-0004-0000-1900-000002000000}"/>
    <hyperlink ref="H37" r:id="rId4" xr:uid="{00000000-0004-0000-1900-000003000000}"/>
    <hyperlink ref="H36" r:id="rId5" xr:uid="{00000000-0004-0000-1900-000004000000}"/>
  </hyperlinks>
  <pageMargins left="0.75" right="0.75" top="1" bottom="1" header="0.5" footer="0.5"/>
  <pageSetup orientation="portrait" r:id="rId6"/>
  <headerFooter alignWithMargins="0"/>
  <drawing r:id="rId7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1">
    <tabColor rgb="FFFF0000"/>
  </sheetPr>
  <dimension ref="A1:AM48"/>
  <sheetViews>
    <sheetView zoomScaleNormal="100" workbookViewId="0">
      <selection activeCell="L43" sqref="L4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12" t="s">
        <v>201</v>
      </c>
      <c r="B1" s="512"/>
      <c r="C1" s="512"/>
      <c r="D1" s="512"/>
      <c r="E1" s="512"/>
      <c r="F1" s="512"/>
      <c r="G1" s="512"/>
      <c r="H1" s="512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1"/>
      <c r="C3" s="36"/>
      <c r="D3" s="94" t="s">
        <v>87</v>
      </c>
      <c r="E3" s="96">
        <v>200</v>
      </c>
      <c r="F3" s="2"/>
      <c r="G3" s="2"/>
      <c r="H3" s="3"/>
    </row>
    <row r="4" spans="1:8" ht="18" customHeight="1" x14ac:dyDescent="0.3">
      <c r="A4" s="22"/>
      <c r="B4" s="35"/>
      <c r="C4" s="36"/>
      <c r="D4" s="95" t="s">
        <v>13</v>
      </c>
      <c r="E4" s="97">
        <v>0</v>
      </c>
      <c r="F4" s="2"/>
      <c r="G4" s="2"/>
      <c r="H4" s="3"/>
    </row>
    <row r="5" spans="1:8" ht="18" customHeight="1" x14ac:dyDescent="0.3">
      <c r="A5" s="22"/>
      <c r="B5" s="35"/>
      <c r="C5" s="36"/>
      <c r="D5" s="95" t="s">
        <v>86</v>
      </c>
      <c r="E5" s="344">
        <f>E3+E3*E4/100</f>
        <v>200</v>
      </c>
      <c r="F5" s="2"/>
      <c r="G5" s="2"/>
      <c r="H5" s="3"/>
    </row>
    <row r="6" spans="1:8" ht="12.75" customHeight="1" x14ac:dyDescent="0.25">
      <c r="A6" s="22"/>
      <c r="B6" s="12"/>
      <c r="C6" s="22"/>
      <c r="D6" s="22"/>
      <c r="E6" s="22"/>
      <c r="F6" s="22"/>
      <c r="G6" s="22"/>
    </row>
    <row r="7" spans="1:8" ht="18" customHeight="1" thickBot="1" x14ac:dyDescent="0.3">
      <c r="A7" s="7"/>
      <c r="B7" s="100" t="s">
        <v>0</v>
      </c>
      <c r="C7" s="101" t="s">
        <v>33</v>
      </c>
      <c r="D7" s="102" t="s">
        <v>34</v>
      </c>
      <c r="E7" s="102" t="s">
        <v>35</v>
      </c>
      <c r="F7" s="259" t="s">
        <v>36</v>
      </c>
      <c r="G7" s="239"/>
      <c r="H7" s="229"/>
    </row>
    <row r="8" spans="1:8" ht="18" customHeight="1" thickTop="1" x14ac:dyDescent="0.25">
      <c r="A8" s="22"/>
      <c r="B8" s="103" t="s">
        <v>11</v>
      </c>
      <c r="C8" s="88">
        <v>0.15</v>
      </c>
      <c r="D8" s="89">
        <v>0.4</v>
      </c>
      <c r="E8" s="89">
        <v>0.3</v>
      </c>
      <c r="F8" s="152">
        <v>0.15</v>
      </c>
      <c r="G8" s="74">
        <f>SUM(C8,D8,E8,F8)</f>
        <v>1</v>
      </c>
      <c r="H8" s="229"/>
    </row>
    <row r="9" spans="1:8" ht="18.75" hidden="1" customHeight="1" x14ac:dyDescent="0.25">
      <c r="A9" s="22"/>
      <c r="B9" s="51" t="s">
        <v>67</v>
      </c>
      <c r="C9" s="104">
        <v>0.48</v>
      </c>
      <c r="D9" s="105">
        <v>0.96</v>
      </c>
      <c r="E9" s="105">
        <v>1.45</v>
      </c>
      <c r="F9" s="242">
        <v>1.92</v>
      </c>
      <c r="G9" s="240"/>
      <c r="H9" s="203"/>
    </row>
    <row r="10" spans="1:8" ht="12.75" customHeight="1" x14ac:dyDescent="0.25">
      <c r="A10" s="22"/>
      <c r="B10" s="50" t="s">
        <v>1</v>
      </c>
      <c r="C10" s="106">
        <f>+($E$5*C8)/C9</f>
        <v>62.5</v>
      </c>
      <c r="D10" s="107">
        <f>+($E$5*D8)/D9</f>
        <v>83.333333333333343</v>
      </c>
      <c r="E10" s="107">
        <f>+($E$5*E8)/E9</f>
        <v>41.379310344827587</v>
      </c>
      <c r="F10" s="241">
        <f>+($E$5*F8)/F9</f>
        <v>15.625</v>
      </c>
      <c r="G10" s="490" t="s">
        <v>90</v>
      </c>
      <c r="H10" s="490"/>
    </row>
    <row r="11" spans="1:8" ht="12.75" customHeight="1" x14ac:dyDescent="0.25">
      <c r="A11" s="22"/>
      <c r="B11" s="51" t="s">
        <v>68</v>
      </c>
      <c r="C11" s="104">
        <v>159</v>
      </c>
      <c r="D11" s="105">
        <v>74</v>
      </c>
      <c r="E11" s="105">
        <v>45</v>
      </c>
      <c r="F11" s="242">
        <v>27</v>
      </c>
      <c r="G11" s="490"/>
      <c r="H11" s="490"/>
    </row>
    <row r="12" spans="1:8" ht="12.75" customHeight="1" thickBot="1" x14ac:dyDescent="0.3">
      <c r="A12" s="22"/>
      <c r="B12" s="115" t="s">
        <v>84</v>
      </c>
      <c r="C12" s="138">
        <v>10.6</v>
      </c>
      <c r="D12" s="138">
        <v>10.6</v>
      </c>
      <c r="E12" s="105">
        <v>9</v>
      </c>
      <c r="F12" s="242">
        <v>9</v>
      </c>
      <c r="G12" s="490"/>
      <c r="H12" s="490"/>
    </row>
    <row r="13" spans="1:8" ht="18.75" hidden="1" customHeight="1" x14ac:dyDescent="0.25">
      <c r="A13" s="22"/>
      <c r="B13" s="116" t="s">
        <v>64</v>
      </c>
      <c r="C13" s="138">
        <v>11</v>
      </c>
      <c r="D13" s="138">
        <v>11</v>
      </c>
      <c r="E13" s="105">
        <v>9</v>
      </c>
      <c r="F13" s="242">
        <v>9</v>
      </c>
      <c r="G13" s="490"/>
      <c r="H13" s="490"/>
    </row>
    <row r="14" spans="1:8" ht="18.75" hidden="1" customHeight="1" thickBot="1" x14ac:dyDescent="0.3">
      <c r="A14" s="22"/>
      <c r="B14" s="116" t="s">
        <v>65</v>
      </c>
      <c r="C14" s="138">
        <v>10</v>
      </c>
      <c r="D14" s="138">
        <v>10</v>
      </c>
      <c r="E14" s="105">
        <v>9</v>
      </c>
      <c r="F14" s="242">
        <v>9</v>
      </c>
      <c r="G14" s="490"/>
      <c r="H14" s="490"/>
    </row>
    <row r="15" spans="1:8" ht="18" customHeight="1" thickBot="1" x14ac:dyDescent="0.3">
      <c r="A15" s="22"/>
      <c r="B15" s="52" t="s">
        <v>69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1</v>
      </c>
      <c r="F15" s="65">
        <f>IF(MOD(F10+F13,F11)&lt;=F13,1+ROUNDDOWN(F10/F11,0),ROUNDDOWN(F10/F11,0))</f>
        <v>0</v>
      </c>
      <c r="G15" s="490"/>
      <c r="H15" s="490"/>
    </row>
    <row r="16" spans="1:8" ht="18" customHeight="1" thickBot="1" x14ac:dyDescent="0.3">
      <c r="A16" s="22"/>
      <c r="B16" s="139" t="s">
        <v>85</v>
      </c>
      <c r="C16" s="119">
        <f>IF(ROUNDUP((C10-(C11*C15))/C12,0)&lt;0,0,ROUNDUP((C10-(C11*C15))/C12,0))</f>
        <v>6</v>
      </c>
      <c r="D16" s="119">
        <f>IF(ROUNDUP((D10-(D11*D15))/D12,0)&lt;0,0,ROUNDUP((D10-(D11*D15))/D12,0))</f>
        <v>1</v>
      </c>
      <c r="E16" s="119">
        <f>IF(ROUNDUP((E10-(E11*E15))/E12,0)&lt;0,0,ROUNDUP((E10-(E11*E15))/E12,0))</f>
        <v>0</v>
      </c>
      <c r="F16" s="119">
        <f>IF(ROUNDUP((F10-(F11*F15))/F12,0)&lt;0,0,ROUNDUP((F10-(F11*F15))/F12,0))</f>
        <v>2</v>
      </c>
      <c r="G16" s="260"/>
      <c r="H16" s="203"/>
    </row>
    <row r="17" spans="1:39" ht="18" customHeight="1" x14ac:dyDescent="0.25">
      <c r="A17" s="22"/>
      <c r="B17" s="140" t="s">
        <v>66</v>
      </c>
      <c r="C17" s="123">
        <f>(C15*C11)+IF(OR(C16=3,C16=8,C16=13),(ROUNDUP(C16*0.67,0)*C13)+(ROUNDDOWN(C16*0.31,0)*C14),(ROUNDUP(C16*0.6,0)*C13)+(ROUNDDOWN(C16*0.4,0)*C14))</f>
        <v>64</v>
      </c>
      <c r="D17" s="123">
        <f>(D15*D11)+(ROUNDUP(D16/2,0)*D13)+(ROUNDDOWN(D16/2,0)*D14)</f>
        <v>85</v>
      </c>
      <c r="E17" s="123">
        <f>(E15*E11)+(ROUNDUP(E16/2,0)*E13)+(ROUNDDOWN(E16/2,0)*E14)</f>
        <v>45</v>
      </c>
      <c r="F17" s="123">
        <f>(F15*F11)+(ROUNDUP(F16/2,0)*F13)+(ROUNDDOWN(F16/2,0)*F14)</f>
        <v>18</v>
      </c>
      <c r="G17" s="260"/>
      <c r="H17" s="203"/>
    </row>
    <row r="18" spans="1:39" ht="12.75" customHeight="1" x14ac:dyDescent="0.25">
      <c r="A18" s="22"/>
      <c r="B18" s="143" t="s">
        <v>71</v>
      </c>
      <c r="C18" s="78">
        <f>C11*C19</f>
        <v>2874.72</v>
      </c>
      <c r="D18" s="78">
        <f>D11*D19</f>
        <v>2855.4749999999999</v>
      </c>
      <c r="E18" s="78">
        <f>E11*E19</f>
        <v>2758.4549999999999</v>
      </c>
      <c r="F18" s="78">
        <f>F11*F19</f>
        <v>2309.9580000000001</v>
      </c>
      <c r="G18" s="240"/>
      <c r="H18" s="203"/>
    </row>
    <row r="19" spans="1:39" ht="12.75" customHeight="1" x14ac:dyDescent="0.25">
      <c r="A19" s="22"/>
      <c r="B19" s="217" t="s">
        <v>70</v>
      </c>
      <c r="C19" s="236">
        <v>18.079999999999998</v>
      </c>
      <c r="D19" s="236">
        <v>38.587499999999999</v>
      </c>
      <c r="E19" s="236">
        <v>61.298999999999999</v>
      </c>
      <c r="F19" s="236">
        <v>85.554000000000002</v>
      </c>
      <c r="G19" s="240"/>
      <c r="H19" s="203"/>
      <c r="M19" s="261"/>
    </row>
    <row r="20" spans="1:39" ht="8.25" hidden="1" customHeight="1" x14ac:dyDescent="0.25">
      <c r="A20" s="22"/>
      <c r="B20" s="219" t="s">
        <v>72</v>
      </c>
      <c r="C20" s="78">
        <f>+C17*C9</f>
        <v>30.72</v>
      </c>
      <c r="D20" s="78">
        <f>+D17*D9</f>
        <v>81.599999999999994</v>
      </c>
      <c r="E20" s="78">
        <f>+E17*E9</f>
        <v>65.25</v>
      </c>
      <c r="F20" s="78">
        <f>+F17*F9</f>
        <v>34.56</v>
      </c>
      <c r="G20" s="240"/>
      <c r="H20" s="203"/>
    </row>
    <row r="21" spans="1:39" ht="12.75" customHeight="1" x14ac:dyDescent="0.25">
      <c r="A21" s="22"/>
      <c r="B21" s="262"/>
      <c r="C21" s="218"/>
      <c r="D21" s="218"/>
      <c r="E21" s="218"/>
      <c r="F21" s="218"/>
      <c r="G21" s="240"/>
      <c r="H21" s="203"/>
    </row>
    <row r="22" spans="1:39" ht="12.75" customHeight="1" x14ac:dyDescent="0.25">
      <c r="A22" s="22"/>
      <c r="B22" s="77" t="s">
        <v>199</v>
      </c>
      <c r="C22" s="218"/>
      <c r="D22" s="218"/>
      <c r="E22" s="218"/>
      <c r="F22" s="218"/>
      <c r="G22" s="240"/>
      <c r="H22" s="203"/>
    </row>
    <row r="23" spans="1:39" ht="12.75" customHeight="1" x14ac:dyDescent="0.25">
      <c r="A23" s="22"/>
      <c r="B23" s="86" t="s">
        <v>105</v>
      </c>
      <c r="C23" s="218"/>
      <c r="D23" s="218"/>
      <c r="E23" s="218"/>
      <c r="F23" s="218"/>
      <c r="G23" s="240"/>
      <c r="H23" s="203"/>
    </row>
    <row r="24" spans="1:39" ht="12.75" customHeight="1" x14ac:dyDescent="0.25">
      <c r="A24" s="22"/>
      <c r="B24" s="261" t="s">
        <v>202</v>
      </c>
      <c r="C24" s="218"/>
      <c r="D24" s="218"/>
      <c r="E24" s="218"/>
      <c r="F24" s="218"/>
      <c r="G24" s="240"/>
      <c r="H24" s="203"/>
    </row>
    <row r="25" spans="1:39" ht="12.75" customHeight="1" x14ac:dyDescent="0.25">
      <c r="A25" s="22"/>
      <c r="B25" s="86" t="s">
        <v>89</v>
      </c>
      <c r="C25" s="218"/>
      <c r="D25" s="218"/>
      <c r="E25" s="218"/>
      <c r="F25" s="218"/>
      <c r="G25" s="240"/>
      <c r="H25" s="203"/>
    </row>
    <row r="26" spans="1:39" ht="12.75" customHeight="1" x14ac:dyDescent="0.25">
      <c r="A26" s="22"/>
      <c r="B26" s="87" t="s">
        <v>50</v>
      </c>
      <c r="C26" s="218"/>
      <c r="D26" s="218"/>
      <c r="E26" s="218"/>
      <c r="F26" s="218"/>
      <c r="G26" s="240"/>
      <c r="H26" s="203"/>
    </row>
    <row r="27" spans="1:39" ht="18" customHeight="1" x14ac:dyDescent="0.25">
      <c r="A27" s="44"/>
      <c r="B27" s="44"/>
      <c r="C27" s="243" t="s">
        <v>93</v>
      </c>
      <c r="D27" s="234">
        <f>SUM(C20:F20)</f>
        <v>212.13</v>
      </c>
      <c r="E27" s="258" t="s">
        <v>17</v>
      </c>
      <c r="F27" s="44"/>
      <c r="G27" s="44"/>
      <c r="H27" s="46"/>
      <c r="K27" s="22"/>
    </row>
    <row r="28" spans="1:39" ht="18" customHeight="1" x14ac:dyDescent="0.25">
      <c r="A28" s="39"/>
      <c r="B28" s="39"/>
      <c r="C28" s="69" t="s">
        <v>2</v>
      </c>
      <c r="D28" s="70">
        <f>ROUND(+D27/35,0)</f>
        <v>6</v>
      </c>
      <c r="E28" s="73" t="s">
        <v>4</v>
      </c>
      <c r="F28" s="39"/>
      <c r="G28" s="39"/>
      <c r="H28" s="35"/>
    </row>
    <row r="29" spans="1:39" ht="12.75" customHeight="1" x14ac:dyDescent="0.25">
      <c r="A29" s="39"/>
      <c r="B29" s="487" t="s">
        <v>8</v>
      </c>
      <c r="C29" s="487"/>
      <c r="D29" s="487"/>
      <c r="E29" s="487"/>
      <c r="F29" s="487"/>
      <c r="G29" s="487"/>
      <c r="H29" s="35"/>
    </row>
    <row r="30" spans="1:39" ht="18" customHeight="1" x14ac:dyDescent="0.25">
      <c r="A30" s="44"/>
      <c r="B30" s="44"/>
      <c r="C30" s="243" t="s">
        <v>96</v>
      </c>
      <c r="D30" s="234">
        <f>SUM(C17*C19+D17*D19+E17*E19+F17*F19)</f>
        <v>8735.4845000000005</v>
      </c>
      <c r="E30" s="258" t="s">
        <v>3</v>
      </c>
      <c r="F30" s="44"/>
      <c r="G30" s="44"/>
      <c r="H30" s="46"/>
    </row>
    <row r="31" spans="1:39" s="17" customForma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:39" s="17" customForma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</row>
    <row r="33" spans="1:39" s="17" customForma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</row>
    <row r="34" spans="1:39" s="17" customFormat="1" ht="17.399999999999999" x14ac:dyDescent="0.25">
      <c r="A34" s="23"/>
      <c r="B34" s="23"/>
      <c r="C34" s="23"/>
      <c r="D34" s="23"/>
      <c r="E34" s="23"/>
      <c r="F34" s="23"/>
      <c r="G34" s="23"/>
      <c r="H34" s="223" t="s">
        <v>9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1:39" s="17" customFormat="1" x14ac:dyDescent="0.25">
      <c r="A35" s="23"/>
      <c r="B35" s="23"/>
      <c r="C35" s="23"/>
      <c r="D35" s="23"/>
      <c r="E35" s="23"/>
      <c r="F35" s="23"/>
      <c r="G35" s="23"/>
      <c r="H35" s="11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1:39" s="17" customFormat="1" x14ac:dyDescent="0.25">
      <c r="A36" s="23"/>
      <c r="B36" s="23"/>
      <c r="C36" s="23"/>
      <c r="D36" s="23"/>
      <c r="E36" s="23"/>
      <c r="F36" s="23"/>
      <c r="G36" s="23"/>
      <c r="H36" s="224" t="s">
        <v>56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</row>
    <row r="37" spans="1:39" s="17" customFormat="1" x14ac:dyDescent="0.25">
      <c r="A37" s="23"/>
      <c r="B37" s="23"/>
      <c r="C37" s="23"/>
      <c r="D37" s="23"/>
      <c r="E37" s="23"/>
      <c r="F37" s="23"/>
      <c r="G37" s="23"/>
      <c r="H37" s="199" t="s">
        <v>55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</row>
    <row r="38" spans="1:39" s="17" customFormat="1" x14ac:dyDescent="0.25">
      <c r="A38" s="23"/>
      <c r="B38" s="23"/>
      <c r="C38" s="23"/>
      <c r="D38" s="23"/>
      <c r="E38" s="23"/>
      <c r="F38" s="23"/>
      <c r="G38" s="23"/>
      <c r="H38" s="246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</row>
    <row r="39" spans="1:39" s="17" customFormat="1" x14ac:dyDescent="0.25">
      <c r="A39" s="23"/>
      <c r="B39" s="23"/>
      <c r="C39" s="23"/>
      <c r="D39" s="23"/>
      <c r="E39" s="23"/>
      <c r="F39" s="23"/>
      <c r="G39" s="23"/>
      <c r="H39" s="199" t="s">
        <v>6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</row>
    <row r="40" spans="1:39" s="17" customFormat="1" x14ac:dyDescent="0.25">
      <c r="A40" s="23"/>
      <c r="B40" s="23"/>
      <c r="C40" s="23"/>
      <c r="D40" s="23"/>
      <c r="E40" s="23"/>
      <c r="F40" s="23"/>
      <c r="G40" s="23"/>
      <c r="H40" s="199" t="s">
        <v>59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</row>
    <row r="41" spans="1:39" s="17" customFormat="1" x14ac:dyDescent="0.25">
      <c r="A41" s="23"/>
      <c r="B41" s="23"/>
      <c r="C41" s="23"/>
      <c r="D41" s="23"/>
      <c r="E41" s="23"/>
      <c r="F41" s="23"/>
      <c r="G41" s="23"/>
      <c r="H41" s="199" t="s">
        <v>10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</row>
    <row r="42" spans="1:39" s="17" customFormat="1" x14ac:dyDescent="0.25">
      <c r="A42" s="23"/>
      <c r="B42" s="23"/>
      <c r="C42" s="23"/>
      <c r="D42" s="23"/>
      <c r="E42" s="23"/>
      <c r="F42" s="23"/>
      <c r="G42" s="23"/>
      <c r="H42" s="225" t="s">
        <v>7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</row>
    <row r="43" spans="1:39" s="17" customForma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</row>
    <row r="44" spans="1:39" s="17" customForma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</row>
    <row r="45" spans="1:39" s="17" customForma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1:39" s="17" customFormat="1" ht="21" customHeight="1" x14ac:dyDescent="0.3">
      <c r="A46" s="23"/>
      <c r="B46" s="15" t="s">
        <v>16</v>
      </c>
      <c r="C46" s="114"/>
      <c r="D46" s="114"/>
      <c r="E46" s="114"/>
      <c r="F46" s="114"/>
      <c r="G46" s="114"/>
      <c r="H46" s="11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</row>
    <row r="47" spans="1:39" s="17" customFormat="1" ht="21" customHeight="1" x14ac:dyDescent="0.25">
      <c r="A47" s="23"/>
      <c r="B47" s="13"/>
      <c r="C47" s="112"/>
      <c r="D47" s="112"/>
      <c r="E47" s="112"/>
      <c r="F47" s="112"/>
      <c r="G47" s="112"/>
      <c r="H47" s="112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</row>
    <row r="48" spans="1:39" ht="21" customHeight="1" x14ac:dyDescent="0.25">
      <c r="B48" s="11"/>
      <c r="C48" s="112"/>
      <c r="D48" s="112"/>
      <c r="E48" s="112"/>
      <c r="F48" s="112"/>
      <c r="G48" s="112"/>
      <c r="H48" s="112"/>
    </row>
  </sheetData>
  <sheetProtection selectLockedCells="1"/>
  <mergeCells count="3">
    <mergeCell ref="A1:H1"/>
    <mergeCell ref="G10:H15"/>
    <mergeCell ref="B29:G29"/>
  </mergeCells>
  <dataValidations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1C00-000000000000}"/>
  </dataValidations>
  <hyperlinks>
    <hyperlink ref="H41" r:id="rId1" xr:uid="{00000000-0004-0000-1C00-000000000000}"/>
    <hyperlink ref="H40" r:id="rId2" xr:uid="{00000000-0004-0000-1C00-000001000000}"/>
    <hyperlink ref="H39" r:id="rId3" xr:uid="{00000000-0004-0000-1C00-000002000000}"/>
    <hyperlink ref="H37" r:id="rId4" xr:uid="{00000000-0004-0000-1C00-000003000000}"/>
  </hyperlinks>
  <pageMargins left="0.75" right="0.75" top="1" bottom="1" header="0.5" footer="0.5"/>
  <pageSetup fitToWidth="0" fitToHeight="0" orientation="portrait" r:id="rId5"/>
  <headerFooter alignWithMargins="0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tabColor theme="8"/>
  </sheetPr>
  <dimension ref="A1:NB51"/>
  <sheetViews>
    <sheetView showGridLines="0" showRowColHeaders="0"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485" t="s">
        <v>164</v>
      </c>
      <c r="B1" s="485"/>
      <c r="C1" s="485"/>
      <c r="D1" s="485"/>
      <c r="E1" s="485"/>
      <c r="F1" s="485"/>
      <c r="G1" s="485"/>
      <c r="H1" s="485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1"/>
      <c r="C3" s="36"/>
      <c r="D3" s="94" t="s">
        <v>87</v>
      </c>
      <c r="E3" s="98">
        <v>200</v>
      </c>
      <c r="F3" s="2"/>
      <c r="G3" s="2"/>
    </row>
    <row r="4" spans="1:8" ht="18" customHeight="1" x14ac:dyDescent="0.3">
      <c r="A4" s="22"/>
      <c r="B4" s="35"/>
      <c r="C4" s="36"/>
      <c r="D4" s="95" t="s">
        <v>13</v>
      </c>
      <c r="E4" s="99">
        <v>0</v>
      </c>
      <c r="F4" s="2"/>
      <c r="G4" s="2"/>
    </row>
    <row r="5" spans="1:8" ht="18" customHeight="1" x14ac:dyDescent="0.3">
      <c r="A5" s="22"/>
      <c r="B5" s="35"/>
      <c r="C5" s="36"/>
      <c r="D5" s="95" t="s">
        <v>86</v>
      </c>
      <c r="E5" s="345">
        <f>E3+E3*E4/100</f>
        <v>200</v>
      </c>
      <c r="F5" s="2"/>
      <c r="G5" s="2"/>
    </row>
    <row r="6" spans="1:8" ht="12.75" customHeight="1" x14ac:dyDescent="0.25">
      <c r="A6" s="22"/>
      <c r="B6" s="9"/>
      <c r="C6" s="22"/>
      <c r="D6" s="22"/>
      <c r="E6" s="22"/>
      <c r="F6" s="22"/>
      <c r="G6" s="22"/>
    </row>
    <row r="7" spans="1:8" ht="18" customHeight="1" thickBot="1" x14ac:dyDescent="0.35">
      <c r="A7" s="7"/>
      <c r="B7" s="100" t="s">
        <v>0</v>
      </c>
      <c r="C7" s="101" t="s">
        <v>23</v>
      </c>
      <c r="D7" s="102" t="s">
        <v>25</v>
      </c>
      <c r="E7" s="102" t="s">
        <v>26</v>
      </c>
      <c r="G7" s="4"/>
    </row>
    <row r="8" spans="1:8" ht="18" customHeight="1" thickTop="1" x14ac:dyDescent="0.3">
      <c r="A8" s="22"/>
      <c r="B8" s="103" t="s">
        <v>11</v>
      </c>
      <c r="C8" s="88">
        <v>0.25</v>
      </c>
      <c r="D8" s="89">
        <v>0.5</v>
      </c>
      <c r="E8" s="89">
        <v>0.25</v>
      </c>
      <c r="F8" s="74">
        <f>SUM(A8:E8)</f>
        <v>1</v>
      </c>
      <c r="G8" s="4"/>
    </row>
    <row r="9" spans="1:8" ht="18.75" hidden="1" customHeight="1" x14ac:dyDescent="0.25">
      <c r="A9" s="22"/>
      <c r="B9" s="51" t="s">
        <v>67</v>
      </c>
      <c r="C9" s="104">
        <v>0.48</v>
      </c>
      <c r="D9" s="105">
        <v>0.96</v>
      </c>
      <c r="E9" s="105">
        <v>1.45</v>
      </c>
      <c r="G9" s="22"/>
    </row>
    <row r="10" spans="1:8" ht="12.75" customHeight="1" x14ac:dyDescent="0.25">
      <c r="A10" s="22"/>
      <c r="B10" s="50" t="s">
        <v>1</v>
      </c>
      <c r="C10" s="106">
        <f>+(E5*C8)/C9</f>
        <v>104.16666666666667</v>
      </c>
      <c r="D10" s="107">
        <f>+(E5*D8)/D9</f>
        <v>104.16666666666667</v>
      </c>
      <c r="E10" s="107">
        <f>+(E5*E8)/E9</f>
        <v>34.482758620689658</v>
      </c>
      <c r="F10" s="82"/>
      <c r="G10" s="490" t="s">
        <v>90</v>
      </c>
      <c r="H10" s="490"/>
    </row>
    <row r="11" spans="1:8" ht="12.75" customHeight="1" x14ac:dyDescent="0.25">
      <c r="A11" s="22"/>
      <c r="B11" s="51" t="s">
        <v>68</v>
      </c>
      <c r="C11" s="104">
        <v>156</v>
      </c>
      <c r="D11" s="105">
        <v>63</v>
      </c>
      <c r="E11" s="105">
        <v>40</v>
      </c>
      <c r="F11" s="82"/>
      <c r="G11" s="490"/>
      <c r="H11" s="490"/>
    </row>
    <row r="12" spans="1:8" ht="12.75" customHeight="1" thickBot="1" x14ac:dyDescent="0.3">
      <c r="A12" s="22"/>
      <c r="B12" s="51" t="s">
        <v>84</v>
      </c>
      <c r="C12" s="60">
        <v>12</v>
      </c>
      <c r="D12" s="61">
        <v>10.5</v>
      </c>
      <c r="E12" s="61">
        <v>10</v>
      </c>
      <c r="F12" s="82"/>
      <c r="G12" s="490"/>
      <c r="H12" s="490"/>
    </row>
    <row r="13" spans="1:8" ht="18.75" hidden="1" customHeight="1" x14ac:dyDescent="0.25">
      <c r="A13" s="22"/>
      <c r="B13" s="50" t="s">
        <v>64</v>
      </c>
      <c r="C13" s="62">
        <v>12</v>
      </c>
      <c r="D13" s="63">
        <v>11</v>
      </c>
      <c r="E13" s="63">
        <v>10</v>
      </c>
      <c r="G13" s="490"/>
      <c r="H13" s="490"/>
    </row>
    <row r="14" spans="1:8" ht="18.75" hidden="1" customHeight="1" thickBot="1" x14ac:dyDescent="0.3">
      <c r="A14" s="22"/>
      <c r="B14" s="92" t="s">
        <v>65</v>
      </c>
      <c r="C14" s="90">
        <v>12</v>
      </c>
      <c r="D14" s="91">
        <v>10</v>
      </c>
      <c r="E14" s="91">
        <v>10</v>
      </c>
      <c r="G14" s="490"/>
      <c r="H14" s="490"/>
    </row>
    <row r="15" spans="1:8" ht="18" customHeight="1" thickBot="1" x14ac:dyDescent="0.3">
      <c r="A15" s="22"/>
      <c r="B15" s="52" t="s">
        <v>69</v>
      </c>
      <c r="C15" s="64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1</v>
      </c>
      <c r="G15" s="490"/>
      <c r="H15" s="490"/>
    </row>
    <row r="16" spans="1:8" ht="18" customHeight="1" thickBot="1" x14ac:dyDescent="0.3">
      <c r="A16" s="22"/>
      <c r="B16" s="52" t="s">
        <v>85</v>
      </c>
      <c r="C16" s="64">
        <f>IF(ROUNDUP((C10-(C11*C15))/C12,0)&lt;0,0,ROUNDUP((C10-(C11*C15))/C12,0))</f>
        <v>9</v>
      </c>
      <c r="D16" s="65">
        <f>IF(ROUNDUP((D10-(D11*D15))/D12,0)&lt;0,0,ROUNDUP((D10-(D11*D15))/D12,0))</f>
        <v>4</v>
      </c>
      <c r="E16" s="65">
        <f>IF(ROUNDUP((E10-(E11*E15))/E12,0)&lt;0,0,ROUNDUP((E10-(E11*E15))/E12,0))</f>
        <v>0</v>
      </c>
      <c r="G16" s="22"/>
    </row>
    <row r="17" spans="1:366" ht="18" customHeight="1" x14ac:dyDescent="0.25">
      <c r="A17" s="22"/>
      <c r="B17" s="53" t="s">
        <v>66</v>
      </c>
      <c r="C17" s="66">
        <f>(C15*C11)+(ROUNDUP(C16/2,0)*C13)+(ROUNDDOWN(C16/2,0)*C14)</f>
        <v>108</v>
      </c>
      <c r="D17" s="67">
        <f>(D15*D11)+(ROUNDUP(D16/2,0)*D13)+(ROUNDDOWN(D16/2,0)*D14)</f>
        <v>105</v>
      </c>
      <c r="E17" s="67">
        <f>(E15*E11)+(ROUNDUP(E16/2,0)*E13)+(ROUNDDOWN(E16/2,0)*E14)</f>
        <v>40</v>
      </c>
      <c r="G17" s="22"/>
    </row>
    <row r="18" spans="1:366" ht="12.75" customHeight="1" x14ac:dyDescent="0.25">
      <c r="A18" s="22"/>
      <c r="B18" s="144" t="s">
        <v>71</v>
      </c>
      <c r="C18" s="25">
        <f>C11*C19</f>
        <v>2642.6400000000003</v>
      </c>
      <c r="D18" s="25">
        <f>D11*D19</f>
        <v>2576.6999999999998</v>
      </c>
      <c r="E18" s="25">
        <f>E11*E19</f>
        <v>2396</v>
      </c>
      <c r="G18" s="22"/>
    </row>
    <row r="19" spans="1:366" ht="12.75" customHeight="1" x14ac:dyDescent="0.25">
      <c r="A19" s="22"/>
      <c r="B19" s="144" t="s">
        <v>70</v>
      </c>
      <c r="C19" s="33">
        <v>16.940000000000001</v>
      </c>
      <c r="D19" s="26">
        <v>40.9</v>
      </c>
      <c r="E19" s="26">
        <v>59.9</v>
      </c>
      <c r="G19" s="22"/>
    </row>
    <row r="20" spans="1:366" ht="18" hidden="1" customHeight="1" x14ac:dyDescent="0.25">
      <c r="A20" s="22"/>
      <c r="B20" s="24" t="s">
        <v>72</v>
      </c>
      <c r="C20" s="25">
        <f>+C17*C9</f>
        <v>51.839999999999996</v>
      </c>
      <c r="D20" s="25">
        <f>+D17*D9</f>
        <v>100.8</v>
      </c>
      <c r="E20" s="25">
        <f>+E17*E9</f>
        <v>58</v>
      </c>
      <c r="G20" s="22"/>
    </row>
    <row r="21" spans="1:366" ht="12.75" customHeight="1" x14ac:dyDescent="0.25">
      <c r="A21" s="22"/>
      <c r="B21" s="24"/>
      <c r="C21" s="25"/>
      <c r="D21" s="25"/>
      <c r="E21" s="25"/>
      <c r="G21" s="22"/>
    </row>
    <row r="22" spans="1:366" ht="12.75" customHeight="1" x14ac:dyDescent="0.25">
      <c r="A22" s="22"/>
      <c r="B22" s="86" t="s">
        <v>89</v>
      </c>
      <c r="C22" s="78"/>
      <c r="D22" s="78"/>
      <c r="E22" s="78"/>
      <c r="F22" s="203"/>
      <c r="G22" s="240"/>
    </row>
    <row r="23" spans="1:366" ht="12.75" customHeight="1" x14ac:dyDescent="0.25">
      <c r="A23" s="22"/>
      <c r="B23" s="87" t="s">
        <v>50</v>
      </c>
      <c r="C23" s="240"/>
      <c r="D23" s="240"/>
      <c r="E23" s="240"/>
      <c r="F23" s="240"/>
      <c r="G23" s="240"/>
    </row>
    <row r="24" spans="1:366" ht="18" customHeight="1" x14ac:dyDescent="0.25">
      <c r="A24" s="34"/>
      <c r="B24" s="71"/>
      <c r="C24" s="68" t="s">
        <v>93</v>
      </c>
      <c r="D24" s="164">
        <f>SUM(C20:E20)</f>
        <v>210.64</v>
      </c>
      <c r="E24" s="72" t="s">
        <v>165</v>
      </c>
      <c r="F24" s="71"/>
      <c r="G24" s="71"/>
      <c r="H24" s="34"/>
    </row>
    <row r="25" spans="1:366" ht="18" customHeight="1" x14ac:dyDescent="0.25">
      <c r="A25" s="39"/>
      <c r="B25" s="150"/>
      <c r="C25" s="69" t="s">
        <v>95</v>
      </c>
      <c r="D25" s="70">
        <f>ROUND(+D24/30,0)</f>
        <v>7</v>
      </c>
      <c r="E25" s="73" t="s">
        <v>4</v>
      </c>
      <c r="F25" s="150"/>
      <c r="G25" s="150"/>
      <c r="H25" s="35"/>
    </row>
    <row r="26" spans="1:366" ht="12.75" customHeight="1" x14ac:dyDescent="0.25">
      <c r="A26" s="39"/>
      <c r="B26" s="487" t="s">
        <v>8</v>
      </c>
      <c r="C26" s="487"/>
      <c r="D26" s="487"/>
      <c r="E26" s="487"/>
      <c r="F26" s="487"/>
      <c r="G26" s="487"/>
      <c r="H26" s="35"/>
    </row>
    <row r="27" spans="1:366" ht="18" customHeight="1" x14ac:dyDescent="0.25">
      <c r="A27" s="34"/>
      <c r="B27" s="71"/>
      <c r="C27" s="68" t="s">
        <v>96</v>
      </c>
      <c r="D27" s="164">
        <f>SUM(C17*C19+D17*D19+E17*E19)</f>
        <v>8520.02</v>
      </c>
      <c r="E27" s="72" t="s">
        <v>3</v>
      </c>
      <c r="F27" s="71"/>
      <c r="G27" s="71"/>
      <c r="H27" s="34"/>
    </row>
    <row r="28" spans="1:366" s="17" customFormat="1" ht="12.75" customHeight="1" x14ac:dyDescent="0.25">
      <c r="A28" s="491" t="s">
        <v>167</v>
      </c>
      <c r="B28" s="491"/>
      <c r="C28" s="491"/>
      <c r="D28" s="491"/>
      <c r="E28" s="491"/>
      <c r="F28" s="491"/>
      <c r="G28" s="491"/>
      <c r="H28" s="491"/>
      <c r="I28" s="23"/>
      <c r="J28" s="23"/>
      <c r="K28" s="11"/>
      <c r="L28" s="11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  <c r="KS28" s="23"/>
      <c r="KT28" s="23"/>
      <c r="KU28" s="23"/>
      <c r="KV28" s="23"/>
      <c r="KW28" s="23"/>
      <c r="KX28" s="23"/>
      <c r="KY28" s="23"/>
      <c r="KZ28" s="23"/>
      <c r="LA28" s="23"/>
      <c r="LB28" s="23"/>
      <c r="LC28" s="23"/>
      <c r="LD28" s="23"/>
      <c r="LE28" s="23"/>
      <c r="LF28" s="23"/>
      <c r="LG28" s="23"/>
      <c r="LH28" s="23"/>
      <c r="LI28" s="23"/>
      <c r="LJ28" s="23"/>
      <c r="LK28" s="23"/>
      <c r="LL28" s="23"/>
      <c r="LM28" s="23"/>
      <c r="LN28" s="23"/>
      <c r="LO28" s="23"/>
      <c r="LP28" s="23"/>
      <c r="LQ28" s="23"/>
      <c r="LR28" s="23"/>
      <c r="LS28" s="23"/>
      <c r="LT28" s="23"/>
      <c r="LU28" s="23"/>
      <c r="LV28" s="23"/>
      <c r="LW28" s="23"/>
      <c r="LX28" s="23"/>
      <c r="LY28" s="23"/>
      <c r="LZ28" s="23"/>
      <c r="MA28" s="23"/>
      <c r="MB28" s="23"/>
      <c r="MC28" s="23"/>
      <c r="MD28" s="23"/>
      <c r="ME28" s="23"/>
      <c r="MF28" s="23"/>
      <c r="MG28" s="23"/>
      <c r="MH28" s="23"/>
      <c r="MI28" s="23"/>
      <c r="MJ28" s="23"/>
      <c r="MK28" s="23"/>
      <c r="ML28" s="23"/>
      <c r="MM28" s="23"/>
      <c r="MN28" s="23"/>
      <c r="MO28" s="23"/>
      <c r="MP28" s="23"/>
      <c r="MQ28" s="23"/>
      <c r="MR28" s="23"/>
      <c r="MS28" s="23"/>
      <c r="MT28" s="23"/>
      <c r="MU28" s="23"/>
      <c r="MV28" s="23"/>
      <c r="MW28" s="23"/>
      <c r="MX28" s="23"/>
      <c r="MY28" s="23"/>
      <c r="MZ28" s="23"/>
      <c r="NA28" s="23"/>
      <c r="NB28" s="23"/>
    </row>
    <row r="29" spans="1:366" s="17" customFormat="1" ht="12.75" customHeight="1" x14ac:dyDescent="0.25">
      <c r="A29" s="11"/>
      <c r="B29" s="11"/>
      <c r="C29" s="11"/>
      <c r="D29" s="11"/>
      <c r="E29" s="11"/>
      <c r="F29" s="11"/>
      <c r="G29" s="11"/>
      <c r="H29" s="11"/>
      <c r="I29" s="23"/>
      <c r="J29" s="23"/>
      <c r="K29" s="11"/>
      <c r="L29" s="11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</row>
    <row r="30" spans="1:366" s="17" customFormat="1" ht="12.75" customHeight="1" x14ac:dyDescent="0.25">
      <c r="A30" s="11"/>
      <c r="B30" s="11"/>
      <c r="C30" s="11"/>
      <c r="D30" s="11"/>
      <c r="E30" s="11"/>
      <c r="F30" s="11"/>
      <c r="G30" s="11"/>
      <c r="H30" s="11"/>
      <c r="I30" s="23"/>
      <c r="J30" s="23"/>
      <c r="K30" s="11"/>
      <c r="L30" s="11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  <c r="NA30" s="23"/>
      <c r="NB30" s="23"/>
    </row>
    <row r="31" spans="1:366" s="17" customFormat="1" ht="18" customHeight="1" x14ac:dyDescent="0.25">
      <c r="A31" s="11"/>
      <c r="B31" s="11"/>
      <c r="C31" s="11"/>
      <c r="D31" s="11"/>
      <c r="E31" s="11"/>
      <c r="F31" s="11"/>
      <c r="G31" s="11"/>
      <c r="H31" s="223" t="s">
        <v>9</v>
      </c>
      <c r="I31" s="23"/>
      <c r="J31" s="23"/>
      <c r="K31" s="11"/>
      <c r="L31" s="11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</row>
    <row r="32" spans="1:366" s="17" customFormat="1" ht="12.75" customHeight="1" x14ac:dyDescent="0.25">
      <c r="A32" s="11"/>
      <c r="B32" s="11"/>
      <c r="C32" s="11"/>
      <c r="D32" s="11"/>
      <c r="E32" s="11"/>
      <c r="F32" s="11"/>
      <c r="G32" s="11"/>
      <c r="H32" s="11"/>
      <c r="I32" s="23"/>
      <c r="J32" s="23"/>
      <c r="K32" s="11"/>
      <c r="L32" s="11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  <c r="NA32" s="23"/>
      <c r="NB32" s="23"/>
    </row>
    <row r="33" spans="1:366" s="17" customFormat="1" ht="12.75" customHeight="1" x14ac:dyDescent="0.25">
      <c r="A33" s="11"/>
      <c r="B33" s="11"/>
      <c r="C33" s="11"/>
      <c r="D33" s="11"/>
      <c r="E33" s="11"/>
      <c r="F33" s="11"/>
      <c r="G33" s="11"/>
      <c r="H33" s="224" t="s">
        <v>56</v>
      </c>
      <c r="I33" s="23"/>
      <c r="J33" s="23"/>
      <c r="K33" s="11"/>
      <c r="L33" s="11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  <c r="NA33" s="23"/>
      <c r="NB33" s="23"/>
    </row>
    <row r="34" spans="1:366" s="17" customFormat="1" ht="12.75" customHeight="1" x14ac:dyDescent="0.25">
      <c r="A34" s="11"/>
      <c r="B34" s="11"/>
      <c r="C34" s="11"/>
      <c r="D34" s="11"/>
      <c r="E34" s="11"/>
      <c r="F34" s="11"/>
      <c r="G34" s="23"/>
      <c r="H34" s="199" t="s">
        <v>55</v>
      </c>
      <c r="I34" s="23"/>
      <c r="J34" s="23"/>
      <c r="K34" s="11"/>
      <c r="L34" s="11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</row>
    <row r="35" spans="1:366" s="17" customFormat="1" ht="12.75" customHeight="1" x14ac:dyDescent="0.25">
      <c r="A35" s="11"/>
      <c r="B35" s="11"/>
      <c r="C35" s="11"/>
      <c r="D35" s="11"/>
      <c r="E35" s="11"/>
      <c r="F35" s="11"/>
      <c r="G35" s="23"/>
      <c r="H35" s="268"/>
      <c r="I35" s="23"/>
      <c r="J35" s="23"/>
      <c r="K35" s="11"/>
      <c r="L35" s="11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3"/>
    </row>
    <row r="36" spans="1:366" s="17" customFormat="1" ht="12.75" customHeight="1" x14ac:dyDescent="0.25">
      <c r="A36" s="11"/>
      <c r="B36" s="11"/>
      <c r="C36" s="11"/>
      <c r="D36" s="11"/>
      <c r="E36" s="11"/>
      <c r="F36" s="11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  <c r="KS36" s="23"/>
      <c r="KT36" s="23"/>
      <c r="KU36" s="23"/>
      <c r="KV36" s="23"/>
      <c r="KW36" s="23"/>
      <c r="KX36" s="23"/>
      <c r="KY36" s="23"/>
      <c r="KZ36" s="23"/>
      <c r="LA36" s="23"/>
      <c r="LB36" s="23"/>
      <c r="LC36" s="23"/>
      <c r="LD36" s="23"/>
      <c r="LE36" s="23"/>
      <c r="LF36" s="23"/>
      <c r="LG36" s="23"/>
      <c r="LH36" s="23"/>
      <c r="LI36" s="23"/>
      <c r="LJ36" s="23"/>
      <c r="LK36" s="23"/>
      <c r="LL36" s="23"/>
      <c r="LM36" s="23"/>
      <c r="LN36" s="23"/>
      <c r="LO36" s="23"/>
      <c r="LP36" s="23"/>
      <c r="LQ36" s="23"/>
      <c r="LR36" s="23"/>
      <c r="LS36" s="23"/>
      <c r="LT36" s="23"/>
      <c r="LU36" s="23"/>
      <c r="LV36" s="23"/>
      <c r="LW36" s="23"/>
      <c r="LX36" s="23"/>
      <c r="LY36" s="23"/>
      <c r="LZ36" s="23"/>
      <c r="MA36" s="23"/>
      <c r="MB36" s="23"/>
      <c r="MC36" s="23"/>
      <c r="MD36" s="23"/>
      <c r="ME36" s="23"/>
      <c r="MF36" s="23"/>
      <c r="MG36" s="23"/>
      <c r="MH36" s="23"/>
      <c r="MI36" s="23"/>
      <c r="MJ36" s="23"/>
      <c r="MK36" s="23"/>
      <c r="ML36" s="23"/>
      <c r="MM36" s="23"/>
      <c r="MN36" s="23"/>
      <c r="MO36" s="23"/>
      <c r="MP36" s="23"/>
      <c r="MQ36" s="23"/>
      <c r="MR36" s="23"/>
      <c r="MS36" s="23"/>
      <c r="MT36" s="23"/>
      <c r="MU36" s="23"/>
      <c r="MV36" s="23"/>
      <c r="MW36" s="23"/>
      <c r="MX36" s="23"/>
      <c r="MY36" s="23"/>
      <c r="MZ36" s="23"/>
      <c r="NA36" s="23"/>
      <c r="NB36" s="23"/>
    </row>
    <row r="37" spans="1:366" s="17" customFormat="1" ht="12.75" customHeight="1" x14ac:dyDescent="0.25">
      <c r="A37" s="11"/>
      <c r="B37" s="11"/>
      <c r="C37" s="11"/>
      <c r="D37" s="11"/>
      <c r="E37" s="11"/>
      <c r="F37" s="11"/>
      <c r="G37" s="23"/>
      <c r="H37" s="199" t="s">
        <v>59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  <c r="KH37" s="23"/>
      <c r="KI37" s="23"/>
      <c r="KJ37" s="23"/>
      <c r="KK37" s="23"/>
      <c r="KL37" s="23"/>
      <c r="KM37" s="23"/>
      <c r="KN37" s="23"/>
      <c r="KO37" s="23"/>
      <c r="KP37" s="23"/>
      <c r="KQ37" s="23"/>
      <c r="KR37" s="23"/>
      <c r="KS37" s="23"/>
      <c r="KT37" s="23"/>
      <c r="KU37" s="23"/>
      <c r="KV37" s="23"/>
      <c r="KW37" s="23"/>
      <c r="KX37" s="23"/>
      <c r="KY37" s="23"/>
      <c r="KZ37" s="23"/>
      <c r="LA37" s="23"/>
      <c r="LB37" s="23"/>
      <c r="LC37" s="23"/>
      <c r="LD37" s="23"/>
      <c r="LE37" s="23"/>
      <c r="LF37" s="23"/>
      <c r="LG37" s="23"/>
      <c r="LH37" s="23"/>
      <c r="LI37" s="23"/>
      <c r="LJ37" s="23"/>
      <c r="LK37" s="23"/>
      <c r="LL37" s="23"/>
      <c r="LM37" s="23"/>
      <c r="LN37" s="23"/>
      <c r="LO37" s="23"/>
      <c r="LP37" s="23"/>
      <c r="LQ37" s="23"/>
      <c r="LR37" s="23"/>
      <c r="LS37" s="23"/>
      <c r="LT37" s="23"/>
      <c r="LU37" s="23"/>
      <c r="LV37" s="23"/>
      <c r="LW37" s="23"/>
      <c r="LX37" s="23"/>
      <c r="LY37" s="23"/>
      <c r="LZ37" s="23"/>
      <c r="MA37" s="23"/>
      <c r="MB37" s="23"/>
      <c r="MC37" s="23"/>
      <c r="MD37" s="23"/>
      <c r="ME37" s="23"/>
      <c r="MF37" s="23"/>
      <c r="MG37" s="23"/>
      <c r="MH37" s="23"/>
      <c r="MI37" s="23"/>
      <c r="MJ37" s="23"/>
      <c r="MK37" s="23"/>
      <c r="ML37" s="23"/>
      <c r="MM37" s="23"/>
      <c r="MN37" s="23"/>
      <c r="MO37" s="23"/>
      <c r="MP37" s="23"/>
      <c r="MQ37" s="23"/>
      <c r="MR37" s="23"/>
      <c r="MS37" s="23"/>
      <c r="MT37" s="23"/>
      <c r="MU37" s="23"/>
      <c r="MV37" s="23"/>
      <c r="MW37" s="23"/>
      <c r="MX37" s="23"/>
      <c r="MY37" s="23"/>
      <c r="MZ37" s="23"/>
      <c r="NA37" s="23"/>
      <c r="NB37" s="23"/>
    </row>
    <row r="38" spans="1:366" s="17" customFormat="1" ht="12.75" customHeight="1" x14ac:dyDescent="0.25">
      <c r="A38" s="11"/>
      <c r="B38" s="11"/>
      <c r="C38" s="11"/>
      <c r="D38" s="11"/>
      <c r="E38" s="11"/>
      <c r="F38" s="11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</row>
    <row r="39" spans="1:366" s="17" customFormat="1" ht="12.75" customHeight="1" x14ac:dyDescent="0.25">
      <c r="A39" s="11"/>
      <c r="B39" s="11"/>
      <c r="C39" s="11"/>
      <c r="D39" s="11"/>
      <c r="E39" s="11"/>
      <c r="F39" s="11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  <c r="IX39" s="23"/>
      <c r="IY39" s="23"/>
      <c r="IZ39" s="23"/>
      <c r="JA39" s="23"/>
      <c r="JB39" s="23"/>
      <c r="JC39" s="23"/>
      <c r="JD39" s="23"/>
      <c r="JE39" s="23"/>
      <c r="JF39" s="23"/>
      <c r="JG39" s="23"/>
      <c r="JH39" s="23"/>
      <c r="JI39" s="23"/>
      <c r="JJ39" s="23"/>
      <c r="JK39" s="23"/>
      <c r="JL39" s="23"/>
      <c r="JM39" s="23"/>
      <c r="JN39" s="23"/>
      <c r="JO39" s="23"/>
      <c r="JP39" s="23"/>
      <c r="JQ39" s="23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</row>
    <row r="40" spans="1:366" s="17" customFormat="1" ht="12.75" customHeight="1" x14ac:dyDescent="0.25">
      <c r="A40" s="11"/>
      <c r="B40" s="11"/>
      <c r="C40" s="11"/>
      <c r="D40" s="11"/>
      <c r="E40" s="11"/>
      <c r="F40" s="11"/>
      <c r="G40" s="23"/>
      <c r="H40" s="11"/>
      <c r="I40" s="11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11"/>
      <c r="X40" s="11"/>
      <c r="Y40" s="11"/>
      <c r="Z40" s="11"/>
      <c r="AA40" s="11"/>
      <c r="AB40" s="11"/>
      <c r="AC40" s="11"/>
      <c r="AD40" s="11"/>
      <c r="AE40" s="11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  <c r="IX40" s="23"/>
      <c r="IY40" s="23"/>
      <c r="IZ40" s="23"/>
      <c r="JA40" s="23"/>
      <c r="JB40" s="23"/>
      <c r="JC40" s="23"/>
      <c r="JD40" s="23"/>
      <c r="JE40" s="23"/>
      <c r="JF40" s="23"/>
      <c r="JG40" s="23"/>
      <c r="JH40" s="23"/>
      <c r="JI40" s="23"/>
      <c r="JJ40" s="23"/>
      <c r="JK40" s="23"/>
      <c r="JL40" s="23"/>
      <c r="JM40" s="23"/>
      <c r="JN40" s="23"/>
      <c r="JO40" s="23"/>
      <c r="JP40" s="23"/>
      <c r="JQ40" s="23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</row>
    <row r="41" spans="1:366" s="17" customFormat="1" ht="12.7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11"/>
      <c r="X41" s="11"/>
      <c r="Y41" s="11"/>
      <c r="Z41" s="11"/>
      <c r="AA41" s="11"/>
      <c r="AB41" s="11"/>
      <c r="AC41" s="11"/>
      <c r="AD41" s="11"/>
      <c r="AE41" s="11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  <c r="IX41" s="23"/>
      <c r="IY41" s="23"/>
      <c r="IZ41" s="23"/>
      <c r="JA41" s="23"/>
      <c r="JB41" s="23"/>
      <c r="JC41" s="23"/>
      <c r="JD41" s="23"/>
      <c r="JE41" s="23"/>
      <c r="JF41" s="23"/>
      <c r="JG41" s="23"/>
      <c r="JH41" s="23"/>
      <c r="JI41" s="23"/>
      <c r="JJ41" s="23"/>
      <c r="JK41" s="23"/>
      <c r="JL41" s="23"/>
      <c r="JM41" s="23"/>
      <c r="JN41" s="23"/>
      <c r="JO41" s="23"/>
      <c r="JP41" s="23"/>
      <c r="JQ41" s="23"/>
      <c r="JR41" s="23"/>
      <c r="JS41" s="23"/>
      <c r="JT41" s="23"/>
      <c r="JU41" s="23"/>
      <c r="JV41" s="23"/>
      <c r="JW41" s="23"/>
      <c r="JX41" s="23"/>
      <c r="JY41" s="23"/>
      <c r="JZ41" s="23"/>
      <c r="KA41" s="23"/>
      <c r="KB41" s="23"/>
      <c r="KC41" s="23"/>
      <c r="KD41" s="23"/>
      <c r="KE41" s="23"/>
      <c r="KF41" s="23"/>
      <c r="KG41" s="23"/>
      <c r="KH41" s="23"/>
      <c r="KI41" s="23"/>
      <c r="KJ41" s="23"/>
      <c r="KK41" s="23"/>
      <c r="KL41" s="23"/>
      <c r="KM41" s="23"/>
      <c r="KN41" s="23"/>
      <c r="KO41" s="23"/>
      <c r="KP41" s="23"/>
      <c r="KQ41" s="23"/>
      <c r="KR41" s="23"/>
      <c r="KS41" s="23"/>
      <c r="KT41" s="23"/>
      <c r="KU41" s="23"/>
      <c r="KV41" s="23"/>
      <c r="KW41" s="23"/>
      <c r="KX41" s="23"/>
      <c r="KY41" s="23"/>
      <c r="KZ41" s="23"/>
      <c r="LA41" s="23"/>
      <c r="LB41" s="23"/>
      <c r="LC41" s="23"/>
      <c r="LD41" s="23"/>
      <c r="LE41" s="23"/>
      <c r="LF41" s="23"/>
      <c r="LG41" s="23"/>
      <c r="LH41" s="23"/>
      <c r="LI41" s="23"/>
      <c r="LJ41" s="23"/>
      <c r="LK41" s="23"/>
      <c r="LL41" s="23"/>
      <c r="LM41" s="23"/>
      <c r="LN41" s="23"/>
      <c r="LO41" s="23"/>
      <c r="LP41" s="23"/>
      <c r="LQ41" s="23"/>
      <c r="LR41" s="23"/>
      <c r="LS41" s="23"/>
      <c r="LT41" s="23"/>
      <c r="LU41" s="23"/>
      <c r="LV41" s="23"/>
      <c r="LW41" s="23"/>
      <c r="LX41" s="23"/>
      <c r="LY41" s="23"/>
      <c r="LZ41" s="23"/>
      <c r="MA41" s="23"/>
      <c r="MB41" s="23"/>
      <c r="MC41" s="23"/>
      <c r="MD41" s="23"/>
      <c r="ME41" s="23"/>
      <c r="MF41" s="23"/>
      <c r="MG41" s="23"/>
      <c r="MH41" s="23"/>
      <c r="MI41" s="23"/>
      <c r="MJ41" s="23"/>
      <c r="MK41" s="23"/>
      <c r="ML41" s="23"/>
      <c r="MM41" s="23"/>
      <c r="MN41" s="23"/>
      <c r="MO41" s="23"/>
      <c r="MP41" s="23"/>
      <c r="MQ41" s="23"/>
      <c r="MR41" s="23"/>
      <c r="MS41" s="23"/>
      <c r="MT41" s="23"/>
      <c r="MU41" s="23"/>
      <c r="MV41" s="23"/>
      <c r="MW41" s="23"/>
      <c r="MX41" s="23"/>
      <c r="MY41" s="23"/>
      <c r="MZ41" s="23"/>
      <c r="NA41" s="23"/>
      <c r="NB41" s="23"/>
    </row>
    <row r="42" spans="1:366" s="17" customFormat="1" ht="12.75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11"/>
      <c r="X42" s="11"/>
      <c r="Y42" s="11"/>
      <c r="Z42" s="11"/>
      <c r="AA42" s="11"/>
      <c r="AB42" s="11"/>
      <c r="AC42" s="11"/>
      <c r="AD42" s="11"/>
      <c r="AE42" s="11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  <c r="IX42" s="23"/>
      <c r="IY42" s="23"/>
      <c r="IZ42" s="23"/>
      <c r="JA42" s="23"/>
      <c r="JB42" s="23"/>
      <c r="JC42" s="23"/>
      <c r="JD42" s="23"/>
      <c r="JE42" s="23"/>
      <c r="JF42" s="23"/>
      <c r="JG42" s="23"/>
      <c r="JH42" s="23"/>
      <c r="JI42" s="23"/>
      <c r="JJ42" s="23"/>
      <c r="JK42" s="23"/>
      <c r="JL42" s="23"/>
      <c r="JM42" s="23"/>
      <c r="JN42" s="23"/>
      <c r="JO42" s="23"/>
      <c r="JP42" s="23"/>
      <c r="JQ42" s="23"/>
      <c r="JR42" s="23"/>
      <c r="JS42" s="23"/>
      <c r="JT42" s="23"/>
      <c r="JU42" s="23"/>
      <c r="JV42" s="23"/>
      <c r="JW42" s="23"/>
      <c r="JX42" s="23"/>
      <c r="JY42" s="23"/>
      <c r="JZ42" s="23"/>
      <c r="KA42" s="23"/>
      <c r="KB42" s="23"/>
      <c r="KC42" s="23"/>
      <c r="KD42" s="23"/>
      <c r="KE42" s="23"/>
      <c r="KF42" s="23"/>
      <c r="KG42" s="23"/>
      <c r="KH42" s="23"/>
      <c r="KI42" s="23"/>
      <c r="KJ42" s="23"/>
      <c r="KK42" s="23"/>
      <c r="KL42" s="23"/>
      <c r="KM42" s="23"/>
      <c r="KN42" s="23"/>
      <c r="KO42" s="23"/>
      <c r="KP42" s="23"/>
      <c r="KQ42" s="23"/>
      <c r="KR42" s="23"/>
      <c r="KS42" s="23"/>
      <c r="KT42" s="23"/>
      <c r="KU42" s="23"/>
      <c r="KV42" s="23"/>
      <c r="KW42" s="23"/>
      <c r="KX42" s="23"/>
      <c r="KY42" s="23"/>
      <c r="KZ42" s="23"/>
      <c r="LA42" s="23"/>
      <c r="LB42" s="23"/>
      <c r="LC42" s="23"/>
      <c r="LD42" s="23"/>
      <c r="LE42" s="23"/>
      <c r="LF42" s="23"/>
      <c r="LG42" s="23"/>
      <c r="LH42" s="23"/>
      <c r="LI42" s="23"/>
      <c r="LJ42" s="23"/>
      <c r="LK42" s="23"/>
      <c r="LL42" s="23"/>
      <c r="LM42" s="23"/>
      <c r="LN42" s="23"/>
      <c r="LO42" s="23"/>
      <c r="LP42" s="23"/>
      <c r="LQ42" s="23"/>
      <c r="LR42" s="23"/>
      <c r="LS42" s="23"/>
      <c r="LT42" s="23"/>
      <c r="LU42" s="23"/>
      <c r="LV42" s="23"/>
      <c r="LW42" s="23"/>
      <c r="LX42" s="23"/>
      <c r="LY42" s="23"/>
      <c r="LZ42" s="23"/>
      <c r="MA42" s="23"/>
      <c r="MB42" s="23"/>
      <c r="MC42" s="23"/>
      <c r="MD42" s="23"/>
      <c r="ME42" s="23"/>
      <c r="MF42" s="23"/>
      <c r="MG42" s="23"/>
      <c r="MH42" s="23"/>
      <c r="MI42" s="23"/>
      <c r="MJ42" s="23"/>
      <c r="MK42" s="23"/>
      <c r="ML42" s="23"/>
      <c r="MM42" s="23"/>
      <c r="MN42" s="23"/>
      <c r="MO42" s="23"/>
      <c r="MP42" s="23"/>
      <c r="MQ42" s="23"/>
      <c r="MR42" s="23"/>
      <c r="MS42" s="23"/>
      <c r="MT42" s="23"/>
      <c r="MU42" s="23"/>
      <c r="MV42" s="23"/>
      <c r="MW42" s="23"/>
      <c r="MX42" s="23"/>
      <c r="MY42" s="23"/>
      <c r="MZ42" s="23"/>
      <c r="NA42" s="23"/>
      <c r="NB42" s="23"/>
    </row>
    <row r="43" spans="1:366" s="17" customFormat="1" ht="12.75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11"/>
      <c r="X43" s="11"/>
      <c r="Y43" s="11"/>
      <c r="Z43" s="11"/>
      <c r="AA43" s="11"/>
      <c r="AB43" s="11"/>
      <c r="AC43" s="11"/>
      <c r="AD43" s="11"/>
      <c r="AE43" s="11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  <c r="IX43" s="23"/>
      <c r="IY43" s="23"/>
      <c r="IZ43" s="23"/>
      <c r="JA43" s="23"/>
      <c r="JB43" s="23"/>
      <c r="JC43" s="23"/>
      <c r="JD43" s="23"/>
      <c r="JE43" s="23"/>
      <c r="JF43" s="23"/>
      <c r="JG43" s="23"/>
      <c r="JH43" s="23"/>
      <c r="JI43" s="23"/>
      <c r="JJ43" s="23"/>
      <c r="JK43" s="23"/>
      <c r="JL43" s="23"/>
      <c r="JM43" s="23"/>
      <c r="JN43" s="23"/>
      <c r="JO43" s="23"/>
      <c r="JP43" s="23"/>
      <c r="JQ43" s="23"/>
      <c r="JR43" s="23"/>
      <c r="JS43" s="23"/>
      <c r="JT43" s="23"/>
      <c r="JU43" s="23"/>
      <c r="JV43" s="23"/>
      <c r="JW43" s="23"/>
      <c r="JX43" s="23"/>
      <c r="JY43" s="23"/>
      <c r="JZ43" s="23"/>
      <c r="KA43" s="23"/>
      <c r="KB43" s="23"/>
      <c r="KC43" s="23"/>
      <c r="KD43" s="23"/>
      <c r="KE43" s="23"/>
      <c r="KF43" s="23"/>
      <c r="KG43" s="23"/>
      <c r="KH43" s="23"/>
      <c r="KI43" s="23"/>
      <c r="KJ43" s="23"/>
      <c r="KK43" s="23"/>
      <c r="KL43" s="23"/>
      <c r="KM43" s="23"/>
      <c r="KN43" s="23"/>
      <c r="KO43" s="23"/>
      <c r="KP43" s="23"/>
      <c r="KQ43" s="23"/>
      <c r="KR43" s="23"/>
      <c r="KS43" s="23"/>
      <c r="KT43" s="23"/>
      <c r="KU43" s="23"/>
      <c r="KV43" s="23"/>
      <c r="KW43" s="23"/>
      <c r="KX43" s="23"/>
      <c r="KY43" s="23"/>
      <c r="KZ43" s="23"/>
      <c r="LA43" s="23"/>
      <c r="LB43" s="23"/>
      <c r="LC43" s="23"/>
      <c r="LD43" s="23"/>
      <c r="LE43" s="23"/>
      <c r="LF43" s="23"/>
      <c r="LG43" s="23"/>
      <c r="LH43" s="23"/>
      <c r="LI43" s="23"/>
      <c r="LJ43" s="23"/>
      <c r="LK43" s="23"/>
      <c r="LL43" s="23"/>
      <c r="LM43" s="23"/>
      <c r="LN43" s="23"/>
      <c r="LO43" s="23"/>
      <c r="LP43" s="23"/>
      <c r="LQ43" s="23"/>
      <c r="LR43" s="23"/>
      <c r="LS43" s="23"/>
      <c r="LT43" s="23"/>
      <c r="LU43" s="23"/>
      <c r="LV43" s="23"/>
      <c r="LW43" s="23"/>
      <c r="LX43" s="23"/>
      <c r="LY43" s="23"/>
      <c r="LZ43" s="23"/>
      <c r="MA43" s="23"/>
      <c r="MB43" s="23"/>
      <c r="MC43" s="23"/>
      <c r="MD43" s="23"/>
      <c r="ME43" s="23"/>
      <c r="MF43" s="23"/>
      <c r="MG43" s="23"/>
      <c r="MH43" s="23"/>
      <c r="MI43" s="23"/>
      <c r="MJ43" s="23"/>
      <c r="MK43" s="23"/>
      <c r="ML43" s="23"/>
      <c r="MM43" s="23"/>
      <c r="MN43" s="23"/>
      <c r="MO43" s="23"/>
      <c r="MP43" s="23"/>
      <c r="MQ43" s="23"/>
      <c r="MR43" s="23"/>
      <c r="MS43" s="23"/>
      <c r="MT43" s="23"/>
      <c r="MU43" s="23"/>
      <c r="MV43" s="23"/>
      <c r="MW43" s="23"/>
      <c r="MX43" s="23"/>
      <c r="MY43" s="23"/>
      <c r="MZ43" s="23"/>
      <c r="NA43" s="23"/>
      <c r="NB43" s="23"/>
    </row>
    <row r="44" spans="1:366" s="17" customFormat="1" ht="12.7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11"/>
      <c r="X44" s="11"/>
      <c r="Y44" s="11"/>
      <c r="Z44" s="11"/>
      <c r="AA44" s="11"/>
      <c r="AB44" s="11"/>
      <c r="AC44" s="11"/>
      <c r="AD44" s="11"/>
      <c r="AE44" s="11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  <c r="IX44" s="23"/>
      <c r="IY44" s="23"/>
      <c r="IZ44" s="23"/>
      <c r="JA44" s="23"/>
      <c r="JB44" s="23"/>
      <c r="JC44" s="23"/>
      <c r="JD44" s="23"/>
      <c r="JE44" s="23"/>
      <c r="JF44" s="23"/>
      <c r="JG44" s="23"/>
      <c r="JH44" s="23"/>
      <c r="JI44" s="23"/>
      <c r="JJ44" s="23"/>
      <c r="JK44" s="23"/>
      <c r="JL44" s="23"/>
      <c r="JM44" s="23"/>
      <c r="JN44" s="23"/>
      <c r="JO44" s="23"/>
      <c r="JP44" s="23"/>
      <c r="JQ44" s="23"/>
      <c r="JR44" s="23"/>
      <c r="JS44" s="23"/>
      <c r="JT44" s="23"/>
      <c r="JU44" s="23"/>
      <c r="JV44" s="23"/>
      <c r="JW44" s="23"/>
      <c r="JX44" s="23"/>
      <c r="JY44" s="23"/>
      <c r="JZ44" s="23"/>
      <c r="KA44" s="23"/>
      <c r="KB44" s="23"/>
      <c r="KC44" s="23"/>
      <c r="KD44" s="23"/>
      <c r="KE44" s="23"/>
      <c r="KF44" s="23"/>
      <c r="KG44" s="23"/>
      <c r="KH44" s="23"/>
      <c r="KI44" s="23"/>
      <c r="KJ44" s="23"/>
      <c r="KK44" s="23"/>
      <c r="KL44" s="23"/>
      <c r="KM44" s="23"/>
      <c r="KN44" s="23"/>
      <c r="KO44" s="23"/>
      <c r="KP44" s="23"/>
      <c r="KQ44" s="23"/>
      <c r="KR44" s="23"/>
      <c r="KS44" s="23"/>
      <c r="KT44" s="23"/>
      <c r="KU44" s="23"/>
      <c r="KV44" s="23"/>
      <c r="KW44" s="23"/>
      <c r="KX44" s="23"/>
      <c r="KY44" s="23"/>
      <c r="KZ44" s="23"/>
      <c r="LA44" s="23"/>
      <c r="LB44" s="23"/>
      <c r="LC44" s="23"/>
      <c r="LD44" s="23"/>
      <c r="LE44" s="23"/>
      <c r="LF44" s="23"/>
      <c r="LG44" s="23"/>
      <c r="LH44" s="23"/>
      <c r="LI44" s="23"/>
      <c r="LJ44" s="23"/>
      <c r="LK44" s="23"/>
      <c r="LL44" s="23"/>
      <c r="LM44" s="23"/>
      <c r="LN44" s="23"/>
      <c r="LO44" s="23"/>
      <c r="LP44" s="23"/>
      <c r="LQ44" s="23"/>
      <c r="LR44" s="23"/>
      <c r="LS44" s="23"/>
      <c r="LT44" s="23"/>
      <c r="LU44" s="23"/>
      <c r="LV44" s="23"/>
      <c r="LW44" s="23"/>
      <c r="LX44" s="23"/>
      <c r="LY44" s="23"/>
      <c r="LZ44" s="23"/>
      <c r="MA44" s="23"/>
      <c r="MB44" s="23"/>
      <c r="MC44" s="23"/>
      <c r="MD44" s="23"/>
      <c r="ME44" s="23"/>
      <c r="MF44" s="23"/>
      <c r="MG44" s="23"/>
      <c r="MH44" s="23"/>
      <c r="MI44" s="23"/>
      <c r="MJ44" s="23"/>
      <c r="MK44" s="23"/>
      <c r="ML44" s="23"/>
      <c r="MM44" s="23"/>
      <c r="MN44" s="23"/>
      <c r="MO44" s="23"/>
      <c r="MP44" s="23"/>
      <c r="MQ44" s="23"/>
      <c r="MR44" s="23"/>
      <c r="MS44" s="23"/>
      <c r="MT44" s="23"/>
      <c r="MU44" s="23"/>
      <c r="MV44" s="23"/>
      <c r="MW44" s="23"/>
      <c r="MX44" s="23"/>
      <c r="MY44" s="23"/>
      <c r="MZ44" s="23"/>
      <c r="NA44" s="23"/>
      <c r="NB44" s="23"/>
    </row>
    <row r="45" spans="1:366" s="17" customFormat="1" ht="12.7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  <c r="IX45" s="23"/>
      <c r="IY45" s="23"/>
      <c r="IZ45" s="23"/>
      <c r="JA45" s="23"/>
      <c r="JB45" s="23"/>
      <c r="JC45" s="23"/>
      <c r="JD45" s="23"/>
      <c r="JE45" s="23"/>
      <c r="JF45" s="23"/>
      <c r="JG45" s="23"/>
      <c r="JH45" s="23"/>
      <c r="JI45" s="23"/>
      <c r="JJ45" s="23"/>
      <c r="JK45" s="23"/>
      <c r="JL45" s="23"/>
      <c r="JM45" s="23"/>
      <c r="JN45" s="23"/>
      <c r="JO45" s="23"/>
      <c r="JP45" s="23"/>
      <c r="JQ45" s="23"/>
      <c r="JR45" s="23"/>
      <c r="JS45" s="23"/>
      <c r="JT45" s="23"/>
      <c r="JU45" s="23"/>
      <c r="JV45" s="23"/>
      <c r="JW45" s="23"/>
      <c r="JX45" s="23"/>
      <c r="JY45" s="23"/>
      <c r="JZ45" s="23"/>
      <c r="KA45" s="23"/>
      <c r="KB45" s="23"/>
      <c r="KC45" s="23"/>
      <c r="KD45" s="23"/>
      <c r="KE45" s="23"/>
      <c r="KF45" s="23"/>
      <c r="KG45" s="23"/>
      <c r="KH45" s="23"/>
      <c r="KI45" s="23"/>
      <c r="KJ45" s="23"/>
      <c r="KK45" s="23"/>
      <c r="KL45" s="23"/>
      <c r="KM45" s="23"/>
      <c r="KN45" s="23"/>
      <c r="KO45" s="23"/>
      <c r="KP45" s="23"/>
      <c r="KQ45" s="23"/>
      <c r="KR45" s="23"/>
      <c r="KS45" s="23"/>
      <c r="KT45" s="23"/>
      <c r="KU45" s="23"/>
      <c r="KV45" s="23"/>
      <c r="KW45" s="23"/>
      <c r="KX45" s="23"/>
      <c r="KY45" s="23"/>
      <c r="KZ45" s="23"/>
      <c r="LA45" s="23"/>
      <c r="LB45" s="23"/>
      <c r="LC45" s="23"/>
      <c r="LD45" s="23"/>
      <c r="LE45" s="23"/>
      <c r="LF45" s="23"/>
      <c r="LG45" s="23"/>
      <c r="LH45" s="23"/>
      <c r="LI45" s="23"/>
      <c r="LJ45" s="23"/>
      <c r="LK45" s="23"/>
      <c r="LL45" s="23"/>
      <c r="LM45" s="23"/>
      <c r="LN45" s="23"/>
      <c r="LO45" s="23"/>
      <c r="LP45" s="23"/>
      <c r="LQ45" s="23"/>
      <c r="LR45" s="23"/>
      <c r="LS45" s="23"/>
      <c r="LT45" s="23"/>
      <c r="LU45" s="23"/>
      <c r="LV45" s="23"/>
      <c r="LW45" s="23"/>
      <c r="LX45" s="23"/>
      <c r="LY45" s="23"/>
      <c r="LZ45" s="23"/>
      <c r="MA45" s="23"/>
      <c r="MB45" s="23"/>
      <c r="MC45" s="23"/>
      <c r="MD45" s="23"/>
      <c r="ME45" s="23"/>
      <c r="MF45" s="23"/>
      <c r="MG45" s="23"/>
      <c r="MH45" s="23"/>
      <c r="MI45" s="23"/>
      <c r="MJ45" s="23"/>
      <c r="MK45" s="23"/>
      <c r="ML45" s="23"/>
      <c r="MM45" s="23"/>
      <c r="MN45" s="23"/>
      <c r="MO45" s="23"/>
      <c r="MP45" s="23"/>
      <c r="MQ45" s="23"/>
      <c r="MR45" s="23"/>
      <c r="MS45" s="23"/>
      <c r="MT45" s="23"/>
      <c r="MU45" s="23"/>
      <c r="MV45" s="23"/>
      <c r="MW45" s="23"/>
      <c r="MX45" s="23"/>
      <c r="MY45" s="23"/>
      <c r="MZ45" s="23"/>
      <c r="NA45" s="23"/>
      <c r="NB45" s="23"/>
    </row>
    <row r="46" spans="1:366" s="17" customFormat="1" ht="21" customHeight="1" x14ac:dyDescent="0.3">
      <c r="A46" s="23"/>
      <c r="B46" s="15" t="s">
        <v>16</v>
      </c>
      <c r="C46" s="113"/>
      <c r="D46" s="113"/>
      <c r="E46" s="113"/>
      <c r="F46" s="113"/>
      <c r="G46" s="113"/>
      <c r="H46" s="113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  <c r="IV46" s="23"/>
      <c r="IW46" s="23"/>
      <c r="IX46" s="23"/>
      <c r="IY46" s="23"/>
      <c r="IZ46" s="23"/>
      <c r="JA46" s="23"/>
      <c r="JB46" s="23"/>
      <c r="JC46" s="23"/>
      <c r="JD46" s="23"/>
      <c r="JE46" s="23"/>
      <c r="JF46" s="23"/>
      <c r="JG46" s="23"/>
      <c r="JH46" s="23"/>
      <c r="JI46" s="23"/>
      <c r="JJ46" s="23"/>
      <c r="JK46" s="23"/>
      <c r="JL46" s="23"/>
      <c r="JM46" s="23"/>
      <c r="JN46" s="23"/>
      <c r="JO46" s="23"/>
      <c r="JP46" s="23"/>
      <c r="JQ46" s="23"/>
      <c r="JR46" s="23"/>
      <c r="JS46" s="23"/>
      <c r="JT46" s="23"/>
      <c r="JU46" s="23"/>
      <c r="JV46" s="23"/>
      <c r="JW46" s="23"/>
      <c r="JX46" s="23"/>
      <c r="JY46" s="23"/>
      <c r="JZ46" s="23"/>
      <c r="KA46" s="23"/>
      <c r="KB46" s="23"/>
      <c r="KC46" s="23"/>
      <c r="KD46" s="23"/>
      <c r="KE46" s="23"/>
      <c r="KF46" s="23"/>
      <c r="KG46" s="23"/>
      <c r="KH46" s="23"/>
      <c r="KI46" s="23"/>
      <c r="KJ46" s="23"/>
      <c r="KK46" s="23"/>
      <c r="KL46" s="23"/>
      <c r="KM46" s="23"/>
      <c r="KN46" s="23"/>
      <c r="KO46" s="23"/>
      <c r="KP46" s="23"/>
      <c r="KQ46" s="23"/>
      <c r="KR46" s="23"/>
      <c r="KS46" s="23"/>
      <c r="KT46" s="23"/>
      <c r="KU46" s="23"/>
      <c r="KV46" s="23"/>
      <c r="KW46" s="23"/>
      <c r="KX46" s="23"/>
      <c r="KY46" s="23"/>
      <c r="KZ46" s="23"/>
      <c r="LA46" s="23"/>
      <c r="LB46" s="23"/>
      <c r="LC46" s="23"/>
      <c r="LD46" s="23"/>
      <c r="LE46" s="23"/>
      <c r="LF46" s="23"/>
      <c r="LG46" s="23"/>
      <c r="LH46" s="23"/>
      <c r="LI46" s="23"/>
      <c r="LJ46" s="23"/>
      <c r="LK46" s="23"/>
      <c r="LL46" s="23"/>
      <c r="LM46" s="23"/>
      <c r="LN46" s="23"/>
      <c r="LO46" s="23"/>
      <c r="LP46" s="23"/>
      <c r="LQ46" s="23"/>
      <c r="LR46" s="23"/>
      <c r="LS46" s="23"/>
      <c r="LT46" s="23"/>
      <c r="LU46" s="23"/>
      <c r="LV46" s="23"/>
      <c r="LW46" s="23"/>
      <c r="LX46" s="23"/>
      <c r="LY46" s="23"/>
      <c r="LZ46" s="23"/>
      <c r="MA46" s="23"/>
      <c r="MB46" s="23"/>
      <c r="MC46" s="23"/>
      <c r="MD46" s="23"/>
      <c r="ME46" s="23"/>
      <c r="MF46" s="23"/>
      <c r="MG46" s="23"/>
      <c r="MH46" s="23"/>
      <c r="MI46" s="23"/>
      <c r="MJ46" s="23"/>
      <c r="MK46" s="23"/>
      <c r="ML46" s="23"/>
      <c r="MM46" s="23"/>
      <c r="MN46" s="23"/>
      <c r="MO46" s="23"/>
      <c r="MP46" s="23"/>
      <c r="MQ46" s="23"/>
      <c r="MR46" s="23"/>
      <c r="MS46" s="23"/>
      <c r="MT46" s="23"/>
      <c r="MU46" s="23"/>
      <c r="MV46" s="23"/>
      <c r="MW46" s="23"/>
      <c r="MX46" s="23"/>
      <c r="MY46" s="23"/>
      <c r="MZ46" s="23"/>
      <c r="NA46" s="23"/>
      <c r="NB46" s="23"/>
    </row>
    <row r="47" spans="1:366" s="17" customFormat="1" ht="21" customHeight="1" x14ac:dyDescent="0.25">
      <c r="A47" s="23"/>
      <c r="B47" s="13"/>
      <c r="C47" s="112"/>
      <c r="D47" s="112"/>
      <c r="E47" s="112"/>
      <c r="F47" s="112"/>
      <c r="G47" s="112"/>
      <c r="H47" s="112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  <c r="IV47" s="23"/>
      <c r="IW47" s="23"/>
      <c r="IX47" s="23"/>
      <c r="IY47" s="23"/>
      <c r="IZ47" s="23"/>
      <c r="JA47" s="23"/>
      <c r="JB47" s="23"/>
      <c r="JC47" s="23"/>
      <c r="JD47" s="23"/>
      <c r="JE47" s="23"/>
      <c r="JF47" s="23"/>
      <c r="JG47" s="23"/>
      <c r="JH47" s="23"/>
      <c r="JI47" s="23"/>
      <c r="JJ47" s="23"/>
      <c r="JK47" s="23"/>
      <c r="JL47" s="23"/>
      <c r="JM47" s="23"/>
      <c r="JN47" s="23"/>
      <c r="JO47" s="23"/>
      <c r="JP47" s="23"/>
      <c r="JQ47" s="23"/>
      <c r="JR47" s="23"/>
      <c r="JS47" s="23"/>
      <c r="JT47" s="23"/>
      <c r="JU47" s="23"/>
      <c r="JV47" s="23"/>
      <c r="JW47" s="23"/>
      <c r="JX47" s="23"/>
      <c r="JY47" s="23"/>
      <c r="JZ47" s="23"/>
      <c r="KA47" s="23"/>
      <c r="KB47" s="23"/>
      <c r="KC47" s="23"/>
      <c r="KD47" s="23"/>
      <c r="KE47" s="23"/>
      <c r="KF47" s="23"/>
      <c r="KG47" s="23"/>
      <c r="KH47" s="23"/>
      <c r="KI47" s="23"/>
      <c r="KJ47" s="23"/>
      <c r="KK47" s="23"/>
      <c r="KL47" s="23"/>
      <c r="KM47" s="23"/>
      <c r="KN47" s="23"/>
      <c r="KO47" s="23"/>
      <c r="KP47" s="23"/>
      <c r="KQ47" s="23"/>
      <c r="KR47" s="23"/>
      <c r="KS47" s="23"/>
      <c r="KT47" s="23"/>
      <c r="KU47" s="23"/>
      <c r="KV47" s="23"/>
      <c r="KW47" s="23"/>
      <c r="KX47" s="23"/>
      <c r="KY47" s="23"/>
      <c r="KZ47" s="23"/>
      <c r="LA47" s="23"/>
      <c r="LB47" s="23"/>
      <c r="LC47" s="23"/>
      <c r="LD47" s="23"/>
      <c r="LE47" s="23"/>
      <c r="LF47" s="23"/>
      <c r="LG47" s="23"/>
      <c r="LH47" s="23"/>
      <c r="LI47" s="23"/>
      <c r="LJ47" s="23"/>
      <c r="LK47" s="23"/>
      <c r="LL47" s="23"/>
      <c r="LM47" s="23"/>
      <c r="LN47" s="23"/>
      <c r="LO47" s="23"/>
      <c r="LP47" s="23"/>
      <c r="LQ47" s="23"/>
      <c r="LR47" s="23"/>
      <c r="LS47" s="23"/>
      <c r="LT47" s="23"/>
      <c r="LU47" s="23"/>
      <c r="LV47" s="23"/>
      <c r="LW47" s="23"/>
      <c r="LX47" s="23"/>
      <c r="LY47" s="23"/>
      <c r="LZ47" s="23"/>
      <c r="MA47" s="23"/>
      <c r="MB47" s="23"/>
      <c r="MC47" s="23"/>
      <c r="MD47" s="23"/>
      <c r="ME47" s="23"/>
      <c r="MF47" s="23"/>
      <c r="MG47" s="23"/>
      <c r="MH47" s="23"/>
      <c r="MI47" s="23"/>
      <c r="MJ47" s="23"/>
      <c r="MK47" s="23"/>
      <c r="ML47" s="23"/>
      <c r="MM47" s="23"/>
      <c r="MN47" s="23"/>
      <c r="MO47" s="23"/>
      <c r="MP47" s="23"/>
      <c r="MQ47" s="23"/>
      <c r="MR47" s="23"/>
      <c r="MS47" s="23"/>
      <c r="MT47" s="23"/>
      <c r="MU47" s="23"/>
      <c r="MV47" s="23"/>
      <c r="MW47" s="23"/>
      <c r="MX47" s="23"/>
      <c r="MY47" s="23"/>
      <c r="MZ47" s="23"/>
      <c r="NA47" s="23"/>
      <c r="NB47" s="23"/>
    </row>
    <row r="48" spans="1:366" s="17" customFormat="1" ht="21" customHeight="1" x14ac:dyDescent="0.25">
      <c r="A48" s="23"/>
      <c r="B48" s="11"/>
      <c r="C48" s="112"/>
      <c r="D48" s="112"/>
      <c r="E48" s="112"/>
      <c r="F48" s="112"/>
      <c r="G48" s="112"/>
      <c r="H48" s="112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  <c r="IV48" s="23"/>
      <c r="IW48" s="23"/>
      <c r="IX48" s="23"/>
      <c r="IY48" s="23"/>
      <c r="IZ48" s="23"/>
      <c r="JA48" s="23"/>
      <c r="JB48" s="23"/>
      <c r="JC48" s="23"/>
      <c r="JD48" s="23"/>
      <c r="JE48" s="23"/>
      <c r="JF48" s="23"/>
      <c r="JG48" s="23"/>
      <c r="JH48" s="23"/>
      <c r="JI48" s="23"/>
      <c r="JJ48" s="23"/>
      <c r="JK48" s="23"/>
      <c r="JL48" s="23"/>
      <c r="JM48" s="23"/>
      <c r="JN48" s="23"/>
      <c r="JO48" s="23"/>
      <c r="JP48" s="23"/>
      <c r="JQ48" s="23"/>
      <c r="JR48" s="23"/>
      <c r="JS48" s="23"/>
      <c r="JT48" s="23"/>
      <c r="JU48" s="23"/>
      <c r="JV48" s="23"/>
      <c r="JW48" s="23"/>
      <c r="JX48" s="23"/>
      <c r="JY48" s="23"/>
      <c r="JZ48" s="23"/>
      <c r="KA48" s="23"/>
      <c r="KB48" s="23"/>
      <c r="KC48" s="23"/>
      <c r="KD48" s="23"/>
      <c r="KE48" s="23"/>
      <c r="KF48" s="23"/>
      <c r="KG48" s="23"/>
      <c r="KH48" s="23"/>
      <c r="KI48" s="23"/>
      <c r="KJ48" s="23"/>
      <c r="KK48" s="23"/>
      <c r="KL48" s="23"/>
      <c r="KM48" s="23"/>
      <c r="KN48" s="23"/>
      <c r="KO48" s="23"/>
      <c r="KP48" s="23"/>
      <c r="KQ48" s="23"/>
      <c r="KR48" s="23"/>
      <c r="KS48" s="23"/>
      <c r="KT48" s="23"/>
      <c r="KU48" s="23"/>
      <c r="KV48" s="23"/>
      <c r="KW48" s="23"/>
      <c r="KX48" s="23"/>
      <c r="KY48" s="23"/>
      <c r="KZ48" s="23"/>
      <c r="LA48" s="23"/>
      <c r="LB48" s="23"/>
      <c r="LC48" s="23"/>
      <c r="LD48" s="23"/>
      <c r="LE48" s="23"/>
      <c r="LF48" s="23"/>
      <c r="LG48" s="23"/>
      <c r="LH48" s="23"/>
      <c r="LI48" s="23"/>
      <c r="LJ48" s="23"/>
      <c r="LK48" s="23"/>
      <c r="LL48" s="23"/>
      <c r="LM48" s="23"/>
      <c r="LN48" s="23"/>
      <c r="LO48" s="23"/>
      <c r="LP48" s="23"/>
      <c r="LQ48" s="23"/>
      <c r="LR48" s="23"/>
      <c r="LS48" s="23"/>
      <c r="LT48" s="23"/>
      <c r="LU48" s="23"/>
      <c r="LV48" s="23"/>
      <c r="LW48" s="23"/>
      <c r="LX48" s="23"/>
      <c r="LY48" s="23"/>
      <c r="LZ48" s="23"/>
      <c r="MA48" s="23"/>
      <c r="MB48" s="23"/>
      <c r="MC48" s="23"/>
      <c r="MD48" s="23"/>
      <c r="ME48" s="23"/>
      <c r="MF48" s="23"/>
      <c r="MG48" s="23"/>
      <c r="MH48" s="23"/>
      <c r="MI48" s="23"/>
      <c r="MJ48" s="23"/>
      <c r="MK48" s="23"/>
      <c r="ML48" s="23"/>
      <c r="MM48" s="23"/>
      <c r="MN48" s="23"/>
      <c r="MO48" s="23"/>
      <c r="MP48" s="23"/>
      <c r="MQ48" s="23"/>
      <c r="MR48" s="23"/>
      <c r="MS48" s="23"/>
      <c r="MT48" s="23"/>
      <c r="MU48" s="23"/>
      <c r="MV48" s="23"/>
      <c r="MW48" s="23"/>
      <c r="MX48" s="23"/>
      <c r="MY48" s="23"/>
      <c r="MZ48" s="23"/>
      <c r="NA48" s="23"/>
      <c r="NB48" s="23"/>
    </row>
    <row r="49" spans="1:31" x14ac:dyDescent="0.25"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spans="1:31" x14ac:dyDescent="0.25">
      <c r="A50" s="13"/>
      <c r="B50" s="11"/>
      <c r="C50" s="11"/>
      <c r="D50" s="11"/>
      <c r="E50" s="11"/>
      <c r="F50" s="11"/>
      <c r="G50" s="11"/>
    </row>
    <row r="51" spans="1:31" x14ac:dyDescent="0.25">
      <c r="A51" s="13"/>
      <c r="B51" s="11"/>
      <c r="C51" s="11"/>
      <c r="D51" s="11"/>
      <c r="E51" s="11"/>
      <c r="F51" s="11"/>
      <c r="G51" s="320"/>
    </row>
  </sheetData>
  <sheetProtection algorithmName="SHA-512" hashValue="jiyjWFa6TcTXGGXb8NIIeXe2qXPeUoDefnLG3pkPIrYSbdfHzGlhJenARXw0JO7QLCg+mWgOCXD3GMdmw6bCxw==" saltValue="lfOEY9q1nR0cZ4oNP5tr9A==" spinCount="100000" sheet="1" selectLockedCells="1"/>
  <mergeCells count="4">
    <mergeCell ref="A1:H1"/>
    <mergeCell ref="G10:H15"/>
    <mergeCell ref="B26:G26"/>
    <mergeCell ref="A28:H28"/>
  </mergeCells>
  <dataValidations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0200-000000000000}"/>
  </dataValidations>
  <hyperlinks>
    <hyperlink ref="H38" r:id="rId1" xr:uid="{00000000-0004-0000-0200-000000000000}"/>
    <hyperlink ref="H37" r:id="rId2" xr:uid="{00000000-0004-0000-0200-000001000000}"/>
    <hyperlink ref="H36" r:id="rId3" xr:uid="{00000000-0004-0000-0200-000002000000}"/>
    <hyperlink ref="H34" r:id="rId4" xr:uid="{00000000-0004-0000-02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2">
    <tabColor rgb="FF7030A0"/>
  </sheetPr>
  <dimension ref="A1:N54"/>
  <sheetViews>
    <sheetView showGridLines="0" showRowColHeaders="0" zoomScale="115" zoomScaleNormal="115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12" ht="24" customHeight="1" x14ac:dyDescent="0.25">
      <c r="A1" s="519" t="s">
        <v>220</v>
      </c>
      <c r="B1" s="519"/>
      <c r="C1" s="519"/>
      <c r="D1" s="519"/>
      <c r="E1" s="519"/>
      <c r="F1" s="519"/>
      <c r="G1" s="519"/>
      <c r="H1" s="519"/>
      <c r="I1" s="519"/>
    </row>
    <row r="2" spans="1:12" ht="12.75" customHeight="1" x14ac:dyDescent="0.25">
      <c r="A2" s="22"/>
      <c r="B2" s="22"/>
      <c r="C2" s="22"/>
      <c r="D2" s="22"/>
      <c r="E2" s="22"/>
      <c r="F2" s="22"/>
      <c r="G2" s="22"/>
    </row>
    <row r="3" spans="1:12" ht="18" customHeight="1" x14ac:dyDescent="0.3">
      <c r="A3" s="22"/>
      <c r="B3" s="42"/>
      <c r="C3" s="43"/>
      <c r="D3" s="133" t="s">
        <v>87</v>
      </c>
      <c r="E3" s="136">
        <v>200</v>
      </c>
      <c r="F3" s="158"/>
      <c r="G3" s="2"/>
      <c r="H3" s="3"/>
    </row>
    <row r="4" spans="1:12" ht="18" customHeight="1" x14ac:dyDescent="0.3">
      <c r="A4" s="22"/>
      <c r="B4" s="355"/>
      <c r="C4" s="356"/>
      <c r="D4" s="357" t="s">
        <v>77</v>
      </c>
      <c r="E4" s="358">
        <v>20</v>
      </c>
      <c r="F4" s="158"/>
      <c r="G4" s="2"/>
      <c r="H4" s="3"/>
    </row>
    <row r="5" spans="1:12" ht="18" customHeight="1" x14ac:dyDescent="0.3">
      <c r="A5" s="22"/>
      <c r="B5" s="42"/>
      <c r="C5" s="43"/>
      <c r="D5" s="134" t="s">
        <v>13</v>
      </c>
      <c r="E5" s="137">
        <v>5</v>
      </c>
      <c r="F5" s="159"/>
      <c r="G5" s="160"/>
      <c r="H5" s="160"/>
    </row>
    <row r="6" spans="1:12" ht="18" customHeight="1" x14ac:dyDescent="0.3">
      <c r="A6" s="22"/>
      <c r="B6" s="42"/>
      <c r="C6" s="43"/>
      <c r="D6" s="134" t="s">
        <v>218</v>
      </c>
      <c r="E6" s="346">
        <f>E3-(E4*0.75)+(E3*E5/100)</f>
        <v>195</v>
      </c>
      <c r="F6" s="16"/>
      <c r="G6" s="160"/>
      <c r="H6" s="160"/>
    </row>
    <row r="7" spans="1:12" ht="12.75" customHeight="1" x14ac:dyDescent="0.25">
      <c r="A7" s="22"/>
      <c r="B7" s="25"/>
      <c r="C7" s="25"/>
      <c r="D7" s="25"/>
      <c r="E7" s="22"/>
      <c r="F7" s="22"/>
      <c r="G7" s="160"/>
      <c r="H7" s="160"/>
    </row>
    <row r="8" spans="1:12" ht="18" customHeight="1" thickBot="1" x14ac:dyDescent="0.3">
      <c r="A8" s="22"/>
      <c r="B8" s="364" t="s">
        <v>100</v>
      </c>
      <c r="C8" s="101" t="s">
        <v>33</v>
      </c>
      <c r="D8" s="102" t="s">
        <v>34</v>
      </c>
      <c r="E8" s="102" t="s">
        <v>35</v>
      </c>
      <c r="F8" s="259" t="s">
        <v>36</v>
      </c>
      <c r="G8" s="239"/>
      <c r="H8" s="229"/>
    </row>
    <row r="9" spans="1:12" ht="18" customHeight="1" thickTop="1" x14ac:dyDescent="0.25">
      <c r="A9" s="22"/>
      <c r="B9" s="103" t="s">
        <v>11</v>
      </c>
      <c r="C9" s="88">
        <v>0.1</v>
      </c>
      <c r="D9" s="89">
        <v>0.4</v>
      </c>
      <c r="E9" s="89">
        <v>0.3</v>
      </c>
      <c r="F9" s="152">
        <v>0.2</v>
      </c>
      <c r="G9" s="74">
        <f>SUM(C9,D9,E9,F9)</f>
        <v>1</v>
      </c>
      <c r="H9" s="229"/>
    </row>
    <row r="10" spans="1:12" ht="12.75" customHeight="1" x14ac:dyDescent="0.25">
      <c r="A10" s="22"/>
      <c r="B10" s="51" t="s">
        <v>67</v>
      </c>
      <c r="C10" s="104">
        <v>0.48</v>
      </c>
      <c r="D10" s="105">
        <v>0.96</v>
      </c>
      <c r="E10" s="105">
        <v>1.45</v>
      </c>
      <c r="F10" s="242">
        <v>1.92</v>
      </c>
      <c r="G10" s="240"/>
      <c r="H10" s="203"/>
      <c r="K10"/>
      <c r="L10" s="6"/>
    </row>
    <row r="11" spans="1:12" ht="12.75" customHeight="1" thickBot="1" x14ac:dyDescent="0.3">
      <c r="A11" s="22"/>
      <c r="B11" s="51" t="s">
        <v>176</v>
      </c>
      <c r="C11" s="62">
        <f>ROUND(5*C9/C10,0)</f>
        <v>1</v>
      </c>
      <c r="D11" s="393">
        <f>ROUND(5*D9/D10,0)</f>
        <v>2</v>
      </c>
      <c r="E11" s="393">
        <f>ROUND(5*E9/E10,0)</f>
        <v>1</v>
      </c>
      <c r="F11" s="393">
        <f>ROUND(5*F9/F10,0)</f>
        <v>1</v>
      </c>
      <c r="G11" s="391"/>
      <c r="H11" s="391"/>
      <c r="K11"/>
      <c r="L11" s="6"/>
    </row>
    <row r="12" spans="1:12" ht="12.75" hidden="1" customHeight="1" thickBot="1" x14ac:dyDescent="0.3">
      <c r="A12" s="22"/>
      <c r="B12" s="392" t="s">
        <v>240</v>
      </c>
      <c r="C12" s="526">
        <f>((C11*C10)+(D11*D10)+(E11*E10)+(F11*F10))</f>
        <v>5.77</v>
      </c>
      <c r="D12" s="527"/>
      <c r="E12" s="527"/>
      <c r="F12" s="528"/>
      <c r="G12" s="391"/>
      <c r="H12" s="391"/>
    </row>
    <row r="13" spans="1:12" ht="18" customHeight="1" x14ac:dyDescent="0.25">
      <c r="A13" s="22"/>
      <c r="B13" s="140" t="s">
        <v>66</v>
      </c>
      <c r="C13" s="123">
        <f>$E$6*C9/C10</f>
        <v>40.625</v>
      </c>
      <c r="D13" s="123">
        <f t="shared" ref="D13:F13" si="0">$E$6*D9/D10</f>
        <v>81.25</v>
      </c>
      <c r="E13" s="123">
        <f t="shared" si="0"/>
        <v>40.344827586206897</v>
      </c>
      <c r="F13" s="123">
        <f t="shared" si="0"/>
        <v>20.3125</v>
      </c>
      <c r="G13" s="260"/>
      <c r="H13" s="203"/>
    </row>
    <row r="14" spans="1:12" ht="18" customHeight="1" x14ac:dyDescent="0.25">
      <c r="A14" s="22"/>
      <c r="B14" s="440" t="s">
        <v>113</v>
      </c>
      <c r="C14" s="523">
        <f>ROUND((C13+D13+E13+F13) / (C11+D11+E11+F11),0)</f>
        <v>37</v>
      </c>
      <c r="D14" s="524"/>
      <c r="E14" s="524"/>
      <c r="F14" s="524"/>
      <c r="G14" s="444"/>
      <c r="H14" s="490" t="s">
        <v>288</v>
      </c>
      <c r="I14" s="490"/>
    </row>
    <row r="15" spans="1:12" ht="12.75" hidden="1" customHeight="1" x14ac:dyDescent="0.25">
      <c r="A15" s="22"/>
      <c r="B15" s="143" t="s">
        <v>71</v>
      </c>
      <c r="C15" s="78">
        <f>C11*C16</f>
        <v>0</v>
      </c>
      <c r="D15" s="78">
        <f>D11*D16</f>
        <v>0</v>
      </c>
      <c r="E15" s="78">
        <f>E11*E16</f>
        <v>0</v>
      </c>
      <c r="F15" s="78">
        <f>F11*F16</f>
        <v>0</v>
      </c>
      <c r="G15" s="444"/>
      <c r="H15" s="490"/>
      <c r="I15" s="490"/>
    </row>
    <row r="16" spans="1:12" ht="12.75" hidden="1" customHeight="1" x14ac:dyDescent="0.25">
      <c r="A16" s="22"/>
      <c r="B16" s="217" t="s">
        <v>70</v>
      </c>
      <c r="C16" s="236">
        <v>0</v>
      </c>
      <c r="D16" s="236">
        <v>0</v>
      </c>
      <c r="E16" s="236">
        <v>0</v>
      </c>
      <c r="F16" s="236">
        <v>0</v>
      </c>
      <c r="G16" s="444"/>
      <c r="H16" s="490"/>
      <c r="I16" s="490"/>
    </row>
    <row r="17" spans="1:9" ht="12.75" hidden="1" customHeight="1" x14ac:dyDescent="0.25">
      <c r="A17" s="22"/>
      <c r="B17" s="219" t="s">
        <v>72</v>
      </c>
      <c r="C17" s="78">
        <f>+C13*C10</f>
        <v>19.5</v>
      </c>
      <c r="D17" s="78">
        <f>+D13*D10</f>
        <v>78</v>
      </c>
      <c r="E17" s="78">
        <f>+E13*E10</f>
        <v>58.5</v>
      </c>
      <c r="F17" s="78">
        <f>+F13*F10</f>
        <v>39</v>
      </c>
      <c r="G17" s="444"/>
      <c r="H17" s="490"/>
      <c r="I17" s="490"/>
    </row>
    <row r="18" spans="1:9" ht="12.75" customHeight="1" x14ac:dyDescent="0.25">
      <c r="A18" s="22"/>
      <c r="B18" s="262"/>
      <c r="C18" s="218"/>
      <c r="D18" s="218"/>
      <c r="E18" s="218"/>
      <c r="F18" s="218"/>
      <c r="G18" s="444"/>
      <c r="H18" s="490"/>
      <c r="I18" s="490"/>
    </row>
    <row r="19" spans="1:9" ht="18" customHeight="1" thickBot="1" x14ac:dyDescent="0.3">
      <c r="A19" s="22"/>
      <c r="B19" s="371" t="s">
        <v>99</v>
      </c>
      <c r="C19" s="369" t="s">
        <v>33</v>
      </c>
      <c r="D19" s="370" t="s">
        <v>34</v>
      </c>
      <c r="E19" s="370" t="s">
        <v>35</v>
      </c>
      <c r="F19" s="370" t="s">
        <v>36</v>
      </c>
      <c r="G19" s="444"/>
      <c r="H19" s="490"/>
      <c r="I19" s="490"/>
    </row>
    <row r="20" spans="1:9" ht="18" customHeight="1" thickTop="1" x14ac:dyDescent="0.25">
      <c r="A20" s="22"/>
      <c r="B20" s="368" t="s">
        <v>11</v>
      </c>
      <c r="C20" s="365">
        <v>0.1</v>
      </c>
      <c r="D20" s="366">
        <v>0.4</v>
      </c>
      <c r="E20" s="366">
        <v>0.3</v>
      </c>
      <c r="F20" s="366">
        <v>0.2</v>
      </c>
      <c r="G20" s="74">
        <f>SUM(C20,D20,E20,F20)</f>
        <v>1</v>
      </c>
      <c r="H20"/>
    </row>
    <row r="21" spans="1:9" ht="12.75" customHeight="1" x14ac:dyDescent="0.25">
      <c r="A21" s="22"/>
      <c r="B21" s="372" t="s">
        <v>221</v>
      </c>
      <c r="C21" s="373">
        <v>0.24</v>
      </c>
      <c r="D21" s="374">
        <v>0.48</v>
      </c>
      <c r="E21" s="374">
        <v>0.72</v>
      </c>
      <c r="F21" s="374">
        <v>0.96</v>
      </c>
      <c r="G21" s="367"/>
      <c r="H21"/>
    </row>
    <row r="22" spans="1:9" ht="12.75" customHeight="1" thickBot="1" x14ac:dyDescent="0.3">
      <c r="A22" s="22"/>
      <c r="B22" s="372" t="s">
        <v>176</v>
      </c>
      <c r="C22" s="434">
        <v>3</v>
      </c>
      <c r="D22" s="384">
        <f>ROUND(5*D20/D21,0)</f>
        <v>4</v>
      </c>
      <c r="E22" s="384">
        <f>ROUND(5*E20/E21,0)</f>
        <v>2</v>
      </c>
      <c r="F22" s="384">
        <f>ROUND(5*F20/F21,0)</f>
        <v>1</v>
      </c>
      <c r="G22" s="367"/>
      <c r="H22"/>
    </row>
    <row r="23" spans="1:9" ht="12.75" hidden="1" customHeight="1" thickBot="1" x14ac:dyDescent="0.3">
      <c r="A23" s="22"/>
      <c r="B23" s="51" t="s">
        <v>240</v>
      </c>
      <c r="C23" s="520">
        <f>((C22*C21)+(D22*D21)+(E22*E21)+(F22*F21))</f>
        <v>5.04</v>
      </c>
      <c r="D23" s="521"/>
      <c r="E23" s="521"/>
      <c r="F23" s="522"/>
      <c r="G23" s="367"/>
      <c r="H23"/>
    </row>
    <row r="24" spans="1:9" ht="12.75" customHeight="1" x14ac:dyDescent="0.25">
      <c r="A24" s="22"/>
      <c r="B24" s="140" t="s">
        <v>66</v>
      </c>
      <c r="C24" s="123">
        <f>$E$4*C20/C21</f>
        <v>8.3333333333333339</v>
      </c>
      <c r="D24" s="123">
        <f t="shared" ref="D24:F24" si="1">$E$4*D20/D21</f>
        <v>16.666666666666668</v>
      </c>
      <c r="E24" s="123">
        <f t="shared" si="1"/>
        <v>8.3333333333333339</v>
      </c>
      <c r="F24" s="123">
        <f t="shared" si="1"/>
        <v>4.166666666666667</v>
      </c>
      <c r="G24" s="367"/>
      <c r="H24"/>
    </row>
    <row r="25" spans="1:9" s="378" customFormat="1" ht="18" customHeight="1" x14ac:dyDescent="0.3">
      <c r="A25" s="375"/>
      <c r="B25" s="440" t="s">
        <v>113</v>
      </c>
      <c r="C25" s="523">
        <f>ROUND((C24+D24+E24+F24) / (C22+D22+E22+F22),0)</f>
        <v>4</v>
      </c>
      <c r="D25" s="524"/>
      <c r="E25" s="524"/>
      <c r="F25" s="524"/>
      <c r="G25" s="376"/>
      <c r="H25" s="377"/>
    </row>
    <row r="26" spans="1:9" ht="12.75" hidden="1" customHeight="1" x14ac:dyDescent="0.25">
      <c r="A26" s="22"/>
      <c r="B26" s="379" t="s">
        <v>76</v>
      </c>
      <c r="C26" s="525">
        <v>0</v>
      </c>
      <c r="D26" s="525"/>
      <c r="E26" s="525"/>
      <c r="F26" s="525"/>
      <c r="G26" s="218"/>
    </row>
    <row r="27" spans="1:9" ht="12.75" customHeight="1" x14ac:dyDescent="0.25">
      <c r="A27" s="22"/>
      <c r="B27" s="217"/>
      <c r="C27" s="157"/>
      <c r="D27" s="161"/>
      <c r="E27" s="161"/>
      <c r="F27" s="161"/>
      <c r="G27" s="161"/>
    </row>
    <row r="28" spans="1:9" ht="18" customHeight="1" x14ac:dyDescent="0.25">
      <c r="A28" s="351"/>
      <c r="B28" s="351"/>
      <c r="C28" s="352" t="s">
        <v>115</v>
      </c>
      <c r="D28" s="353">
        <f>(C13*C10)+(D13*D10)+(E13*E10)+(F13*F10)</f>
        <v>195</v>
      </c>
      <c r="E28" s="354" t="s">
        <v>216</v>
      </c>
      <c r="F28" s="351"/>
      <c r="G28" s="351"/>
      <c r="H28" s="351"/>
      <c r="I28" s="351"/>
    </row>
    <row r="29" spans="1:9" ht="18" customHeight="1" x14ac:dyDescent="0.25">
      <c r="A29" s="351"/>
      <c r="B29" s="351"/>
      <c r="C29" s="352" t="s">
        <v>102</v>
      </c>
      <c r="D29" s="353">
        <f>(C13*C16)+(D13*D16)+(E13*E16)+(F13*F16)</f>
        <v>0</v>
      </c>
      <c r="E29" s="354" t="s">
        <v>3</v>
      </c>
      <c r="F29" s="351"/>
      <c r="G29" s="351"/>
      <c r="H29" s="351"/>
      <c r="I29" s="351"/>
    </row>
    <row r="30" spans="1:9" ht="18" customHeight="1" x14ac:dyDescent="0.3">
      <c r="A30" s="359"/>
      <c r="B30" s="359"/>
      <c r="C30" s="360" t="s">
        <v>98</v>
      </c>
      <c r="D30" s="361">
        <f>C23*C25</f>
        <v>20.16</v>
      </c>
      <c r="E30" s="362" t="s">
        <v>217</v>
      </c>
      <c r="F30" s="363"/>
      <c r="G30" s="359"/>
      <c r="H30" s="355"/>
      <c r="I30" s="355"/>
    </row>
    <row r="31" spans="1:9" ht="18" customHeight="1" x14ac:dyDescent="0.3">
      <c r="A31" s="359"/>
      <c r="B31" s="359"/>
      <c r="C31" s="360" t="s">
        <v>103</v>
      </c>
      <c r="D31" s="361">
        <f>C25*C26</f>
        <v>0</v>
      </c>
      <c r="E31" s="362" t="s">
        <v>3</v>
      </c>
      <c r="F31" s="363"/>
      <c r="G31" s="359"/>
      <c r="H31" s="355"/>
      <c r="I31" s="355"/>
    </row>
    <row r="32" spans="1:9" ht="18" customHeight="1" x14ac:dyDescent="0.25">
      <c r="A32" s="39"/>
      <c r="B32" s="39"/>
      <c r="C32" s="69" t="s">
        <v>95</v>
      </c>
      <c r="D32" s="70">
        <f>ROUNDUP(D28/25,0)</f>
        <v>8</v>
      </c>
      <c r="E32" s="294" t="s">
        <v>170</v>
      </c>
      <c r="F32" s="40"/>
      <c r="G32" s="39"/>
      <c r="H32" s="35"/>
      <c r="I32" s="35"/>
    </row>
    <row r="33" spans="1:14" ht="12.75" customHeight="1" x14ac:dyDescent="0.25">
      <c r="A33" s="39"/>
      <c r="B33" s="487" t="s">
        <v>8</v>
      </c>
      <c r="C33" s="487"/>
      <c r="D33" s="487"/>
      <c r="E33" s="487"/>
      <c r="F33" s="487"/>
      <c r="G33" s="487"/>
      <c r="H33" s="35"/>
      <c r="I33" s="35"/>
    </row>
    <row r="34" spans="1:14" ht="18" customHeight="1" x14ac:dyDescent="0.25">
      <c r="A34" s="351"/>
      <c r="B34" s="351"/>
      <c r="C34" s="352" t="s">
        <v>96</v>
      </c>
      <c r="D34" s="353">
        <f>SUM(D29+D31)</f>
        <v>0</v>
      </c>
      <c r="E34" s="354" t="s">
        <v>3</v>
      </c>
      <c r="F34" s="351"/>
      <c r="G34" s="351"/>
      <c r="H34" s="351"/>
      <c r="I34" s="351"/>
    </row>
    <row r="35" spans="1:14" ht="12.75" customHeight="1" x14ac:dyDescent="0.25"/>
    <row r="36" spans="1:14" ht="12.75" customHeight="1" x14ac:dyDescent="0.25">
      <c r="K36" s="11"/>
      <c r="L36" s="11"/>
      <c r="M36" s="11"/>
      <c r="N36" s="11"/>
    </row>
    <row r="37" spans="1:14" ht="12.75" customHeight="1" x14ac:dyDescent="0.25">
      <c r="K37" s="11"/>
      <c r="L37" s="11"/>
      <c r="M37" s="11"/>
      <c r="N37" s="11"/>
    </row>
    <row r="38" spans="1:14" ht="18" customHeight="1" x14ac:dyDescent="0.25">
      <c r="H38" s="223" t="s">
        <v>9</v>
      </c>
      <c r="K38" s="11"/>
      <c r="L38" s="11"/>
      <c r="M38" s="11"/>
      <c r="N38" s="11"/>
    </row>
    <row r="39" spans="1:14" s="11" customFormat="1" ht="12.75" customHeight="1" x14ac:dyDescent="0.25">
      <c r="A39" s="13"/>
      <c r="B39" s="13"/>
      <c r="C39" s="13"/>
      <c r="D39" s="13"/>
      <c r="E39" s="13"/>
      <c r="F39" s="13"/>
      <c r="G39" s="13"/>
      <c r="H39" s="13"/>
    </row>
    <row r="40" spans="1:14" s="11" customFormat="1" ht="12.75" customHeight="1" x14ac:dyDescent="0.25">
      <c r="A40" s="13"/>
      <c r="B40" s="13"/>
      <c r="C40" s="13"/>
      <c r="D40" s="13"/>
      <c r="F40" s="13"/>
      <c r="G40" s="13"/>
      <c r="H40" s="224" t="s">
        <v>56</v>
      </c>
    </row>
    <row r="41" spans="1:14" s="11" customFormat="1" ht="12.75" customHeight="1" x14ac:dyDescent="0.25">
      <c r="A41" s="13"/>
      <c r="B41" s="13"/>
      <c r="C41" s="13"/>
      <c r="D41" s="13"/>
      <c r="E41" s="13"/>
      <c r="F41" s="13"/>
      <c r="G41" s="13"/>
      <c r="H41" s="199" t="s">
        <v>55</v>
      </c>
    </row>
    <row r="42" spans="1:14" s="11" customFormat="1" ht="12.75" customHeight="1" x14ac:dyDescent="0.25">
      <c r="A42" s="13"/>
      <c r="B42" s="13"/>
      <c r="C42" s="13"/>
      <c r="D42" s="13"/>
      <c r="E42" s="13"/>
      <c r="F42" s="13"/>
      <c r="G42" s="13"/>
      <c r="H42" s="246"/>
    </row>
    <row r="43" spans="1:14" s="11" customFormat="1" ht="12.75" customHeight="1" x14ac:dyDescent="0.25">
      <c r="A43" s="13"/>
      <c r="B43" s="13"/>
      <c r="C43" s="13"/>
      <c r="D43" s="13"/>
      <c r="E43" s="13"/>
      <c r="F43" s="13"/>
      <c r="G43" s="13"/>
      <c r="H43" s="199" t="s">
        <v>57</v>
      </c>
    </row>
    <row r="44" spans="1:14" s="11" customFormat="1" ht="12.75" customHeight="1" x14ac:dyDescent="0.25">
      <c r="A44" s="13"/>
      <c r="B44" s="13"/>
      <c r="C44" s="13"/>
      <c r="D44" s="13"/>
      <c r="E44" s="13"/>
      <c r="F44" s="13"/>
      <c r="H44" s="199" t="s">
        <v>10</v>
      </c>
    </row>
    <row r="45" spans="1:14" s="11" customFormat="1" ht="12.75" customHeight="1" x14ac:dyDescent="0.25">
      <c r="A45" s="13"/>
      <c r="B45" s="13"/>
      <c r="C45" s="13"/>
      <c r="D45" s="13"/>
      <c r="E45" s="13"/>
      <c r="F45" s="13"/>
      <c r="H45" s="225" t="s">
        <v>7</v>
      </c>
    </row>
    <row r="46" spans="1:14" s="11" customFormat="1" ht="12.75" customHeight="1" x14ac:dyDescent="0.25">
      <c r="A46" s="13"/>
      <c r="B46" s="13"/>
      <c r="C46" s="13"/>
      <c r="D46" s="13"/>
      <c r="E46" s="13"/>
      <c r="F46" s="13"/>
      <c r="H46" s="225"/>
    </row>
    <row r="47" spans="1:14" s="11" customFormat="1" ht="12.75" customHeight="1" x14ac:dyDescent="0.25">
      <c r="A47" s="13"/>
      <c r="B47" s="13"/>
      <c r="C47" s="13"/>
      <c r="D47" s="13"/>
      <c r="E47" s="13"/>
      <c r="F47" s="13"/>
      <c r="H47" s="225"/>
    </row>
    <row r="48" spans="1:14" s="11" customFormat="1" ht="12.75" customHeight="1" x14ac:dyDescent="0.25">
      <c r="A48" s="13"/>
      <c r="B48" s="13"/>
      <c r="C48" s="13"/>
      <c r="D48" s="13"/>
      <c r="E48" s="13"/>
      <c r="F48" s="13"/>
      <c r="H48" s="225"/>
    </row>
    <row r="49" spans="1:8" s="11" customFormat="1" ht="12.75" customHeight="1" x14ac:dyDescent="0.25">
      <c r="A49" s="13"/>
      <c r="B49" s="13"/>
      <c r="C49" s="13"/>
      <c r="D49" s="13"/>
      <c r="E49" s="13"/>
      <c r="F49" s="13"/>
      <c r="H49" s="225"/>
    </row>
    <row r="50" spans="1:8" s="11" customFormat="1" ht="12.75" customHeight="1" x14ac:dyDescent="0.25">
      <c r="A50" s="13"/>
      <c r="B50" s="13"/>
      <c r="C50" s="13"/>
      <c r="D50" s="13"/>
      <c r="E50" s="13"/>
      <c r="F50" s="13"/>
      <c r="H50" s="225"/>
    </row>
    <row r="51" spans="1:8" s="11" customFormat="1" ht="12.75" customHeight="1" x14ac:dyDescent="0.25">
      <c r="A51" s="13"/>
      <c r="B51" s="13"/>
      <c r="C51" s="13"/>
      <c r="D51" s="13"/>
      <c r="E51" s="13"/>
      <c r="F51" s="13"/>
      <c r="H51" s="225"/>
    </row>
    <row r="52" spans="1:8" ht="21" customHeight="1" x14ac:dyDescent="0.3">
      <c r="B52" s="15" t="s">
        <v>16</v>
      </c>
      <c r="C52" s="114"/>
      <c r="D52" s="114"/>
      <c r="E52" s="114"/>
      <c r="F52" s="114"/>
      <c r="G52" s="246"/>
      <c r="H52" s="246"/>
    </row>
    <row r="53" spans="1:8" ht="21" customHeight="1" x14ac:dyDescent="0.25">
      <c r="B53" s="13"/>
      <c r="C53" s="112"/>
      <c r="D53" s="112"/>
      <c r="E53" s="112"/>
      <c r="F53" s="112"/>
      <c r="G53" s="112"/>
      <c r="H53" s="112"/>
    </row>
    <row r="54" spans="1:8" ht="21" customHeight="1" x14ac:dyDescent="0.25">
      <c r="C54" s="114"/>
      <c r="D54" s="114"/>
      <c r="E54" s="114"/>
      <c r="F54" s="114"/>
      <c r="G54" s="114"/>
      <c r="H54" s="114"/>
    </row>
  </sheetData>
  <sheetProtection algorithmName="SHA-512" hashValue="StG9t9eqpl4UvlJnEuOt9RVfMaLk+fsl2opiphfn6rgdO+k68WhaXRRF17PFGG+GHfTARWyFjJYHaUL8/X09CA==" saltValue="glkKcipcpLbY5afa0kX39A==" spinCount="100000" sheet="1" selectLockedCells="1"/>
  <mergeCells count="8">
    <mergeCell ref="H14:I19"/>
    <mergeCell ref="A1:I1"/>
    <mergeCell ref="B33:G33"/>
    <mergeCell ref="C23:F23"/>
    <mergeCell ref="C25:F25"/>
    <mergeCell ref="C26:F26"/>
    <mergeCell ref="C12:F12"/>
    <mergeCell ref="C14:F14"/>
  </mergeCells>
  <conditionalFormatting sqref="C12:F12">
    <cfRule type="cellIs" dxfId="21" priority="6" operator="lessThan">
      <formula>0</formula>
    </cfRule>
    <cfRule type="cellIs" dxfId="20" priority="7" operator="greaterThan">
      <formula>0</formula>
    </cfRule>
  </conditionalFormatting>
  <conditionalFormatting sqref="C23:F23">
    <cfRule type="cellIs" dxfId="19" priority="1" operator="lessThan">
      <formula>5</formula>
    </cfRule>
    <cfRule type="cellIs" dxfId="18" priority="2" operator="greaterThan">
      <formula>5</formula>
    </cfRule>
  </conditionalFormatting>
  <dataValidations disablePrompts="1" count="2">
    <dataValidation type="whole" errorStyle="warning" allowBlank="1" showInputMessage="1" showErrorMessage="1" errorTitle="Waste Allowance" error="Based upon our experience waste factors less than 5% may result in a shortage of product delivered to site.  " sqref="F5" xr:uid="{00000000-0002-0000-1D00-000000000000}">
      <formula1>0</formula1>
      <formula2>100</formula2>
    </dataValidation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5" xr:uid="{00000000-0002-0000-1D00-000001000000}">
      <formula1>0</formula1>
      <formula2>100</formula2>
    </dataValidation>
  </dataValidations>
  <hyperlinks>
    <hyperlink ref="H43" r:id="rId1" xr:uid="{00000000-0004-0000-1D00-000000000000}"/>
    <hyperlink ref="H41" r:id="rId2" xr:uid="{00000000-0004-0000-1D00-000001000000}"/>
    <hyperlink ref="H44" r:id="rId3" xr:uid="{00000000-0004-0000-1D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3">
    <tabColor rgb="FF7030A0"/>
  </sheetPr>
  <dimension ref="A1:N54"/>
  <sheetViews>
    <sheetView showGridLines="0" showRowColHeaders="0" zoomScale="130" zoomScaleNormal="13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9" ht="24" customHeight="1" x14ac:dyDescent="0.25">
      <c r="A1" s="519" t="s">
        <v>223</v>
      </c>
      <c r="B1" s="519"/>
      <c r="C1" s="519"/>
      <c r="D1" s="519"/>
      <c r="E1" s="519"/>
      <c r="F1" s="519"/>
      <c r="G1" s="519"/>
      <c r="H1" s="519"/>
    </row>
    <row r="2" spans="1:9" ht="12.75" customHeight="1" x14ac:dyDescent="0.25">
      <c r="A2" s="22"/>
      <c r="B2" s="22"/>
      <c r="C2" s="22"/>
      <c r="D2" s="22"/>
      <c r="E2" s="22"/>
      <c r="F2" s="22"/>
      <c r="G2" s="22"/>
    </row>
    <row r="3" spans="1:9" ht="18" customHeight="1" x14ac:dyDescent="0.3">
      <c r="A3" s="22"/>
      <c r="B3" s="42"/>
      <c r="C3" s="43"/>
      <c r="D3" s="133" t="s">
        <v>87</v>
      </c>
      <c r="E3" s="136">
        <v>200</v>
      </c>
      <c r="F3" s="158"/>
      <c r="G3" s="2"/>
      <c r="H3" s="3"/>
    </row>
    <row r="4" spans="1:9" ht="18" customHeight="1" x14ac:dyDescent="0.3">
      <c r="A4" s="22"/>
      <c r="B4" s="355"/>
      <c r="C4" s="356"/>
      <c r="D4" s="357" t="s">
        <v>77</v>
      </c>
      <c r="E4" s="358">
        <v>20</v>
      </c>
      <c r="F4" s="158"/>
      <c r="G4" s="2"/>
      <c r="H4" s="3"/>
    </row>
    <row r="5" spans="1:9" ht="18" customHeight="1" x14ac:dyDescent="0.3">
      <c r="A5" s="22"/>
      <c r="B5" s="42"/>
      <c r="C5" s="43"/>
      <c r="D5" s="134" t="s">
        <v>13</v>
      </c>
      <c r="E5" s="137">
        <v>5</v>
      </c>
      <c r="F5" s="159"/>
      <c r="G5" s="160"/>
      <c r="H5" s="160"/>
    </row>
    <row r="6" spans="1:9" ht="18" customHeight="1" x14ac:dyDescent="0.3">
      <c r="A6" s="22"/>
      <c r="B6" s="42"/>
      <c r="C6" s="43"/>
      <c r="D6" s="134" t="s">
        <v>218</v>
      </c>
      <c r="E6" s="346">
        <f>E3-(E4*0.75)+(E3*E5/100)</f>
        <v>195</v>
      </c>
      <c r="F6" s="16"/>
      <c r="G6" s="160"/>
      <c r="H6" s="160"/>
    </row>
    <row r="7" spans="1:9" ht="12.75" customHeight="1" x14ac:dyDescent="0.25">
      <c r="A7" s="22"/>
      <c r="B7" s="25"/>
      <c r="C7" s="25"/>
      <c r="D7" s="25"/>
      <c r="E7" s="22"/>
      <c r="F7" s="22"/>
      <c r="G7" s="160"/>
      <c r="H7" s="160"/>
    </row>
    <row r="8" spans="1:9" ht="18" customHeight="1" thickBot="1" x14ac:dyDescent="0.3">
      <c r="A8" s="22"/>
      <c r="B8" s="364" t="s">
        <v>100</v>
      </c>
      <c r="C8" s="101" t="s">
        <v>30</v>
      </c>
      <c r="D8" s="102" t="s">
        <v>31</v>
      </c>
      <c r="E8" s="102" t="s">
        <v>222</v>
      </c>
      <c r="F8"/>
      <c r="G8" s="239"/>
      <c r="H8" s="229"/>
    </row>
    <row r="9" spans="1:9" ht="18" customHeight="1" thickTop="1" x14ac:dyDescent="0.25">
      <c r="A9" s="22"/>
      <c r="B9" s="103" t="s">
        <v>11</v>
      </c>
      <c r="C9" s="88">
        <v>0.2</v>
      </c>
      <c r="D9" s="89">
        <v>0.5</v>
      </c>
      <c r="E9" s="89">
        <v>0.3</v>
      </c>
      <c r="F9"/>
      <c r="G9" s="74">
        <f>SUM(C9,D9,E9,F9)</f>
        <v>1</v>
      </c>
      <c r="H9" s="229"/>
    </row>
    <row r="10" spans="1:9" ht="12.75" customHeight="1" x14ac:dyDescent="0.25">
      <c r="A10" s="22"/>
      <c r="B10" s="51" t="s">
        <v>67</v>
      </c>
      <c r="C10" s="104">
        <v>0.45</v>
      </c>
      <c r="D10" s="105">
        <v>1.19</v>
      </c>
      <c r="E10" s="105">
        <v>1.33</v>
      </c>
      <c r="F10"/>
      <c r="G10" s="240"/>
      <c r="H10" s="203"/>
    </row>
    <row r="11" spans="1:9" ht="12.75" customHeight="1" thickBot="1" x14ac:dyDescent="0.3">
      <c r="A11" s="22"/>
      <c r="B11" s="394" t="s">
        <v>176</v>
      </c>
      <c r="C11" s="439">
        <v>3</v>
      </c>
      <c r="D11" s="395">
        <f t="shared" ref="D11:E11" si="0">ROUND(5*D9/D10,0)</f>
        <v>2</v>
      </c>
      <c r="E11" s="395">
        <f t="shared" si="0"/>
        <v>1</v>
      </c>
      <c r="F11"/>
      <c r="G11" s="490" t="s">
        <v>289</v>
      </c>
      <c r="H11" s="490"/>
      <c r="I11"/>
    </row>
    <row r="12" spans="1:9" ht="12.75" hidden="1" customHeight="1" thickBot="1" x14ac:dyDescent="0.3">
      <c r="A12" s="22"/>
      <c r="B12" s="51" t="s">
        <v>240</v>
      </c>
      <c r="C12" s="535">
        <f>((C11*C10)+(D11*D10)+(E11*E10))</f>
        <v>5.0600000000000005</v>
      </c>
      <c r="D12" s="536"/>
      <c r="E12" s="537"/>
      <c r="F12"/>
      <c r="G12" s="490"/>
      <c r="H12" s="490"/>
      <c r="I12"/>
    </row>
    <row r="13" spans="1:9" ht="18" customHeight="1" x14ac:dyDescent="0.25">
      <c r="A13" s="22"/>
      <c r="B13" s="140" t="s">
        <v>66</v>
      </c>
      <c r="C13" s="123">
        <f>$E$6*C9/C10</f>
        <v>86.666666666666671</v>
      </c>
      <c r="D13" s="123">
        <f t="shared" ref="D13:E13" si="1">$E$6*D9/D10</f>
        <v>81.932773109243698</v>
      </c>
      <c r="E13" s="123">
        <f t="shared" si="1"/>
        <v>43.984962406015036</v>
      </c>
      <c r="F13"/>
      <c r="G13" s="490"/>
      <c r="H13" s="490"/>
    </row>
    <row r="14" spans="1:9" ht="18" customHeight="1" x14ac:dyDescent="0.25">
      <c r="A14" s="22"/>
      <c r="B14" s="440" t="s">
        <v>113</v>
      </c>
      <c r="C14" s="538">
        <f>ROUND((C13+D13+E13) / (C11+D11+E11),0)</f>
        <v>35</v>
      </c>
      <c r="D14" s="538"/>
      <c r="E14" s="523"/>
      <c r="F14"/>
      <c r="G14" s="490"/>
      <c r="H14" s="490"/>
    </row>
    <row r="15" spans="1:9" ht="12.75" hidden="1" customHeight="1" x14ac:dyDescent="0.25">
      <c r="A15" s="22"/>
      <c r="B15" s="143" t="s">
        <v>71</v>
      </c>
      <c r="C15" s="78">
        <f>C12*C16</f>
        <v>0</v>
      </c>
      <c r="D15" s="78">
        <f>D12*D16</f>
        <v>0</v>
      </c>
      <c r="E15" s="78">
        <f>E12*E16</f>
        <v>0</v>
      </c>
      <c r="F15"/>
      <c r="G15" s="490"/>
      <c r="H15" s="490"/>
    </row>
    <row r="16" spans="1:9" ht="12.75" hidden="1" customHeight="1" x14ac:dyDescent="0.25">
      <c r="A16" s="22"/>
      <c r="B16" s="217" t="s">
        <v>70</v>
      </c>
      <c r="C16" s="236">
        <v>0</v>
      </c>
      <c r="D16" s="236">
        <v>0</v>
      </c>
      <c r="E16" s="236">
        <v>0</v>
      </c>
      <c r="F16"/>
      <c r="G16" s="490"/>
      <c r="H16" s="490"/>
    </row>
    <row r="17" spans="1:8" ht="12.75" hidden="1" customHeight="1" x14ac:dyDescent="0.25">
      <c r="A17" s="22"/>
      <c r="B17" s="219" t="s">
        <v>72</v>
      </c>
      <c r="C17" s="78">
        <f>+C13*C10</f>
        <v>39</v>
      </c>
      <c r="D17" s="78">
        <f>+D13*D10</f>
        <v>97.5</v>
      </c>
      <c r="E17" s="78">
        <f>+E13*E10</f>
        <v>58.5</v>
      </c>
      <c r="F17"/>
      <c r="G17" s="240"/>
      <c r="H17" s="203"/>
    </row>
    <row r="18" spans="1:8" ht="12.75" customHeight="1" x14ac:dyDescent="0.25">
      <c r="A18" s="22"/>
      <c r="B18" s="262"/>
      <c r="C18" s="218"/>
      <c r="D18" s="218"/>
      <c r="E18" s="218"/>
      <c r="F18"/>
      <c r="G18" s="240"/>
      <c r="H18" s="203"/>
    </row>
    <row r="19" spans="1:8" ht="18" customHeight="1" thickBot="1" x14ac:dyDescent="0.3">
      <c r="A19" s="22"/>
      <c r="B19" s="371" t="s">
        <v>99</v>
      </c>
      <c r="C19" s="101" t="s">
        <v>30</v>
      </c>
      <c r="D19" s="102" t="s">
        <v>31</v>
      </c>
      <c r="E19" s="102" t="s">
        <v>222</v>
      </c>
      <c r="F19"/>
      <c r="G19" s="367"/>
      <c r="H19"/>
    </row>
    <row r="20" spans="1:8" ht="18" customHeight="1" thickTop="1" x14ac:dyDescent="0.25">
      <c r="A20" s="22"/>
      <c r="B20" s="368" t="s">
        <v>11</v>
      </c>
      <c r="C20" s="365">
        <v>0.2</v>
      </c>
      <c r="D20" s="366">
        <v>0.5</v>
      </c>
      <c r="E20" s="366">
        <v>0.3</v>
      </c>
      <c r="F20"/>
      <c r="G20" s="74">
        <f>SUM(C20,D20,E20,F20)</f>
        <v>1</v>
      </c>
      <c r="H20"/>
    </row>
    <row r="21" spans="1:8" ht="12.75" customHeight="1" x14ac:dyDescent="0.25">
      <c r="A21" s="22"/>
      <c r="B21" s="372" t="s">
        <v>221</v>
      </c>
      <c r="C21" s="373">
        <v>0.22</v>
      </c>
      <c r="D21" s="374">
        <v>0.45</v>
      </c>
      <c r="E21" s="374">
        <v>0.67</v>
      </c>
      <c r="F21"/>
      <c r="G21" s="367"/>
      <c r="H21"/>
    </row>
    <row r="22" spans="1:8" ht="12.75" customHeight="1" thickBot="1" x14ac:dyDescent="0.3">
      <c r="A22" s="22"/>
      <c r="B22" s="372" t="s">
        <v>176</v>
      </c>
      <c r="C22" s="383">
        <f>ROUND(5*C20/C21,0)</f>
        <v>5</v>
      </c>
      <c r="D22" s="384">
        <f>ROUND(5*D20/D21,0)</f>
        <v>6</v>
      </c>
      <c r="E22" s="384">
        <f>ROUND(5*E20/E21,0)</f>
        <v>2</v>
      </c>
      <c r="F22"/>
      <c r="G22" s="367"/>
      <c r="H22"/>
    </row>
    <row r="23" spans="1:8" ht="12.75" hidden="1" customHeight="1" thickBot="1" x14ac:dyDescent="0.3">
      <c r="A23" s="22"/>
      <c r="B23" s="49" t="s">
        <v>240</v>
      </c>
      <c r="C23" s="529">
        <f>((C22*C21)+(D22*D21)+(E22*E21))</f>
        <v>5.1400000000000006</v>
      </c>
      <c r="D23" s="530"/>
      <c r="E23" s="530"/>
      <c r="F23"/>
      <c r="G23" s="367"/>
      <c r="H23"/>
    </row>
    <row r="24" spans="1:8" ht="12.75" customHeight="1" x14ac:dyDescent="0.25">
      <c r="A24" s="22"/>
      <c r="B24" s="140" t="s">
        <v>66</v>
      </c>
      <c r="C24" s="442">
        <f>$E$4*C20/C21</f>
        <v>18.181818181818183</v>
      </c>
      <c r="D24" s="443">
        <f t="shared" ref="D24:E24" si="2">$E$4*D20/D21</f>
        <v>22.222222222222221</v>
      </c>
      <c r="E24" s="443">
        <f t="shared" si="2"/>
        <v>8.9552238805970141</v>
      </c>
      <c r="F24"/>
      <c r="G24" s="367"/>
      <c r="H24"/>
    </row>
    <row r="25" spans="1:8" s="378" customFormat="1" ht="18" customHeight="1" x14ac:dyDescent="0.3">
      <c r="A25" s="375"/>
      <c r="B25" s="440" t="s">
        <v>113</v>
      </c>
      <c r="C25" s="531">
        <f>ROUND((C24+D24+E24) / (C22+D22+E22),0)</f>
        <v>4</v>
      </c>
      <c r="D25" s="532"/>
      <c r="E25" s="533"/>
      <c r="F25"/>
      <c r="G25" s="376"/>
      <c r="H25" s="377"/>
    </row>
    <row r="26" spans="1:8" ht="12.75" hidden="1" customHeight="1" x14ac:dyDescent="0.25">
      <c r="A26" s="22"/>
      <c r="B26" s="379" t="s">
        <v>76</v>
      </c>
      <c r="C26" s="534">
        <v>0</v>
      </c>
      <c r="D26" s="534"/>
      <c r="E26" s="534"/>
      <c r="F26" s="381"/>
      <c r="G26" s="218"/>
    </row>
    <row r="27" spans="1:8" ht="12.75" customHeight="1" x14ac:dyDescent="0.25">
      <c r="A27" s="22"/>
      <c r="B27" s="217"/>
      <c r="C27" s="157"/>
      <c r="D27" s="161"/>
      <c r="E27" s="161"/>
      <c r="F27" s="161"/>
      <c r="G27" s="161"/>
    </row>
    <row r="28" spans="1:8" ht="18" customHeight="1" x14ac:dyDescent="0.25">
      <c r="A28" s="351"/>
      <c r="B28" s="351"/>
      <c r="C28" s="352" t="s">
        <v>115</v>
      </c>
      <c r="D28" s="353">
        <f>(C13*C10)+(D13*D10)+(E13*E10)+(F13*F10)</f>
        <v>195</v>
      </c>
      <c r="E28" s="354" t="s">
        <v>216</v>
      </c>
      <c r="F28" s="351"/>
      <c r="G28" s="351"/>
      <c r="H28" s="351"/>
    </row>
    <row r="29" spans="1:8" ht="18" customHeight="1" x14ac:dyDescent="0.25">
      <c r="A29" s="351"/>
      <c r="B29" s="351"/>
      <c r="C29" s="352" t="s">
        <v>102</v>
      </c>
      <c r="D29" s="353">
        <f>(C13*C16)+(D13*D16)+(E13*E16)+(F13*F16)</f>
        <v>0</v>
      </c>
      <c r="E29" s="354" t="s">
        <v>3</v>
      </c>
      <c r="F29" s="351"/>
      <c r="G29" s="351"/>
      <c r="H29" s="351"/>
    </row>
    <row r="30" spans="1:8" ht="18" customHeight="1" x14ac:dyDescent="0.3">
      <c r="A30" s="359"/>
      <c r="B30" s="359"/>
      <c r="C30" s="360" t="s">
        <v>98</v>
      </c>
      <c r="D30" s="361">
        <f>C23*C25</f>
        <v>20.560000000000002</v>
      </c>
      <c r="E30" s="362" t="s">
        <v>217</v>
      </c>
      <c r="F30" s="363"/>
      <c r="G30" s="359"/>
      <c r="H30" s="355"/>
    </row>
    <row r="31" spans="1:8" ht="18" customHeight="1" x14ac:dyDescent="0.3">
      <c r="A31" s="359"/>
      <c r="B31" s="359"/>
      <c r="C31" s="360" t="s">
        <v>103</v>
      </c>
      <c r="D31" s="361">
        <f>C25*C26</f>
        <v>0</v>
      </c>
      <c r="E31" s="362" t="s">
        <v>3</v>
      </c>
      <c r="F31" s="363"/>
      <c r="G31" s="359"/>
      <c r="H31" s="355"/>
    </row>
    <row r="32" spans="1:8" ht="18" customHeight="1" x14ac:dyDescent="0.25">
      <c r="A32" s="39"/>
      <c r="B32" s="39"/>
      <c r="C32" s="69" t="s">
        <v>95</v>
      </c>
      <c r="D32" s="70">
        <f>ROUNDUP(D28/25,0)</f>
        <v>8</v>
      </c>
      <c r="E32" s="294" t="s">
        <v>170</v>
      </c>
      <c r="F32" s="40"/>
      <c r="G32" s="39"/>
      <c r="H32" s="35"/>
    </row>
    <row r="33" spans="1:14" ht="12.75" customHeight="1" x14ac:dyDescent="0.25">
      <c r="A33" s="39"/>
      <c r="B33" s="487" t="s">
        <v>8</v>
      </c>
      <c r="C33" s="487"/>
      <c r="D33" s="487"/>
      <c r="E33" s="487"/>
      <c r="F33" s="487"/>
      <c r="G33" s="487"/>
      <c r="H33" s="35"/>
    </row>
    <row r="34" spans="1:14" ht="18" customHeight="1" x14ac:dyDescent="0.25">
      <c r="A34" s="351"/>
      <c r="B34" s="351"/>
      <c r="C34" s="352" t="s">
        <v>96</v>
      </c>
      <c r="D34" s="353">
        <f>SUM(D29+D31)</f>
        <v>0</v>
      </c>
      <c r="E34" s="354" t="s">
        <v>3</v>
      </c>
      <c r="F34" s="351"/>
      <c r="G34" s="351"/>
      <c r="H34" s="351"/>
    </row>
    <row r="35" spans="1:14" ht="12.75" customHeight="1" x14ac:dyDescent="0.25"/>
    <row r="36" spans="1:14" ht="12.75" customHeight="1" x14ac:dyDescent="0.25">
      <c r="K36" s="11"/>
      <c r="L36" s="11"/>
      <c r="M36" s="11"/>
      <c r="N36" s="11"/>
    </row>
    <row r="37" spans="1:14" ht="12.75" customHeight="1" x14ac:dyDescent="0.25">
      <c r="K37" s="11"/>
      <c r="L37" s="11"/>
      <c r="M37" s="11"/>
      <c r="N37" s="11"/>
    </row>
    <row r="38" spans="1:14" ht="18" customHeight="1" x14ac:dyDescent="0.25">
      <c r="H38" s="223" t="s">
        <v>9</v>
      </c>
      <c r="K38" s="11"/>
      <c r="L38" s="11"/>
      <c r="M38" s="11"/>
      <c r="N38" s="11"/>
    </row>
    <row r="39" spans="1:14" s="11" customFormat="1" ht="12.75" customHeight="1" x14ac:dyDescent="0.25">
      <c r="A39" s="13"/>
      <c r="B39" s="13"/>
      <c r="C39" s="13"/>
      <c r="D39" s="13"/>
      <c r="E39" s="13"/>
      <c r="F39" s="13"/>
      <c r="G39" s="13"/>
      <c r="H39" s="13"/>
    </row>
    <row r="40" spans="1:14" s="11" customFormat="1" ht="12.75" customHeight="1" x14ac:dyDescent="0.25">
      <c r="A40" s="13"/>
      <c r="B40" s="13"/>
      <c r="C40" s="13"/>
      <c r="D40" s="13"/>
      <c r="F40" s="13"/>
      <c r="G40" s="13"/>
      <c r="H40" s="224" t="s">
        <v>56</v>
      </c>
    </row>
    <row r="41" spans="1:14" s="11" customFormat="1" ht="12.75" customHeight="1" x14ac:dyDescent="0.25">
      <c r="A41" s="13"/>
      <c r="B41" s="13"/>
      <c r="C41" s="13"/>
      <c r="D41" s="13"/>
      <c r="E41" s="13"/>
      <c r="F41" s="13"/>
      <c r="G41" s="13"/>
      <c r="H41" s="199" t="s">
        <v>55</v>
      </c>
    </row>
    <row r="42" spans="1:14" s="11" customFormat="1" ht="12.75" customHeight="1" x14ac:dyDescent="0.25">
      <c r="A42" s="13"/>
      <c r="B42" s="13"/>
      <c r="C42" s="13"/>
      <c r="D42" s="13"/>
      <c r="E42" s="13"/>
      <c r="F42" s="13"/>
      <c r="G42" s="13"/>
      <c r="H42" s="246"/>
    </row>
    <row r="43" spans="1:14" s="11" customFormat="1" ht="12.75" customHeight="1" x14ac:dyDescent="0.25">
      <c r="A43" s="13"/>
      <c r="B43" s="13"/>
      <c r="C43" s="13"/>
      <c r="D43" s="13"/>
      <c r="E43" s="13"/>
      <c r="F43" s="13"/>
      <c r="G43" s="13"/>
      <c r="H43" s="199" t="s">
        <v>57</v>
      </c>
    </row>
    <row r="44" spans="1:14" s="11" customFormat="1" ht="12.75" customHeight="1" x14ac:dyDescent="0.25">
      <c r="A44" s="13"/>
      <c r="B44" s="13"/>
      <c r="C44" s="13"/>
      <c r="D44" s="13"/>
      <c r="E44" s="13"/>
      <c r="F44" s="13"/>
      <c r="H44" s="199" t="s">
        <v>10</v>
      </c>
    </row>
    <row r="45" spans="1:14" s="11" customFormat="1" ht="12.75" customHeight="1" x14ac:dyDescent="0.25">
      <c r="A45" s="13"/>
      <c r="B45" s="13"/>
      <c r="C45" s="13"/>
      <c r="D45" s="13"/>
      <c r="E45" s="13"/>
      <c r="F45" s="13"/>
      <c r="H45" s="225" t="s">
        <v>7</v>
      </c>
    </row>
    <row r="46" spans="1:14" s="11" customFormat="1" ht="12.75" customHeight="1" x14ac:dyDescent="0.25">
      <c r="A46" s="13"/>
      <c r="B46" s="13"/>
      <c r="C46" s="13"/>
      <c r="D46" s="13"/>
      <c r="E46" s="13"/>
      <c r="F46" s="13"/>
      <c r="H46" s="225"/>
    </row>
    <row r="47" spans="1:14" s="11" customFormat="1" ht="12.75" customHeight="1" x14ac:dyDescent="0.25">
      <c r="A47" s="13"/>
      <c r="B47" s="13"/>
      <c r="C47" s="13"/>
      <c r="D47" s="13"/>
      <c r="E47" s="13"/>
      <c r="F47" s="13"/>
      <c r="H47" s="225"/>
    </row>
    <row r="48" spans="1:14" s="11" customFormat="1" ht="12.75" customHeight="1" x14ac:dyDescent="0.25">
      <c r="A48" s="13"/>
      <c r="B48" s="13"/>
      <c r="C48" s="13"/>
      <c r="D48" s="13"/>
      <c r="E48" s="13"/>
      <c r="F48" s="13"/>
      <c r="H48" s="225"/>
    </row>
    <row r="49" spans="1:8" s="11" customFormat="1" ht="12.75" customHeight="1" x14ac:dyDescent="0.25">
      <c r="A49" s="13"/>
      <c r="B49" s="13"/>
      <c r="C49" s="13"/>
      <c r="D49" s="13"/>
      <c r="E49" s="13"/>
      <c r="F49" s="13"/>
      <c r="H49" s="225"/>
    </row>
    <row r="50" spans="1:8" s="11" customFormat="1" ht="12.75" customHeight="1" x14ac:dyDescent="0.25">
      <c r="A50" s="13"/>
      <c r="B50" s="13"/>
      <c r="C50" s="13"/>
      <c r="D50" s="13"/>
      <c r="E50" s="13"/>
      <c r="F50" s="13"/>
      <c r="H50" s="225"/>
    </row>
    <row r="51" spans="1:8" s="11" customFormat="1" ht="12.75" customHeight="1" x14ac:dyDescent="0.25">
      <c r="A51" s="13"/>
      <c r="B51" s="13"/>
      <c r="C51" s="13"/>
      <c r="D51" s="13"/>
      <c r="E51" s="13"/>
      <c r="F51" s="13"/>
      <c r="H51" s="225"/>
    </row>
    <row r="52" spans="1:8" ht="21" customHeight="1" x14ac:dyDescent="0.3">
      <c r="B52" s="15" t="s">
        <v>16</v>
      </c>
      <c r="C52" s="114"/>
      <c r="D52" s="114"/>
      <c r="E52" s="114"/>
      <c r="F52" s="114"/>
      <c r="G52" s="246"/>
      <c r="H52" s="246"/>
    </row>
    <row r="53" spans="1:8" ht="21" customHeight="1" x14ac:dyDescent="0.25">
      <c r="B53" s="13"/>
      <c r="C53" s="112"/>
      <c r="D53" s="112"/>
      <c r="E53" s="112"/>
      <c r="F53" s="112"/>
      <c r="G53" s="112"/>
      <c r="H53" s="112"/>
    </row>
    <row r="54" spans="1:8" ht="21" customHeight="1" x14ac:dyDescent="0.25">
      <c r="C54" s="114"/>
      <c r="D54" s="114"/>
      <c r="E54" s="114"/>
      <c r="F54" s="114"/>
      <c r="G54" s="114"/>
      <c r="H54" s="114"/>
    </row>
  </sheetData>
  <sheetProtection algorithmName="SHA-512" hashValue="9MwP8alhDAQ+dz8CiMMGvRTSn6Z5JR6k/EU3352kbrNAcw9aUel4RhYi/KMhuZIxbyGEcXdY62y0LjwcVewfxg==" saltValue="D8cAYATS+IdHiONndFbUJA==" spinCount="100000" sheet="1" selectLockedCells="1"/>
  <mergeCells count="8">
    <mergeCell ref="A1:H1"/>
    <mergeCell ref="B33:G33"/>
    <mergeCell ref="C23:E23"/>
    <mergeCell ref="C25:E25"/>
    <mergeCell ref="C26:E26"/>
    <mergeCell ref="C12:E12"/>
    <mergeCell ref="C14:E14"/>
    <mergeCell ref="G11:H16"/>
  </mergeCells>
  <conditionalFormatting sqref="C12:E12">
    <cfRule type="cellIs" dxfId="17" priority="3" operator="lessThan">
      <formula>5</formula>
    </cfRule>
    <cfRule type="cellIs" dxfId="16" priority="4" operator="greaterThan">
      <formula>5</formula>
    </cfRule>
  </conditionalFormatting>
  <conditionalFormatting sqref="C23">
    <cfRule type="cellIs" dxfId="15" priority="1" operator="lessThan">
      <formula>5</formula>
    </cfRule>
    <cfRule type="cellIs" dxfId="14" priority="2" operator="greaterThan">
      <formula>5</formula>
    </cfRule>
  </conditionalFormatting>
  <dataValidations disablePrompts="1" count="2"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5" xr:uid="{00000000-0002-0000-1E00-000000000000}">
      <formula1>0</formula1>
      <formula2>100</formula2>
    </dataValidation>
    <dataValidation type="whole" errorStyle="warning" allowBlank="1" showInputMessage="1" showErrorMessage="1" errorTitle="Waste Allowance" error="Based upon our experience waste factors less than 5% may result in a shortage of product delivered to site.  " sqref="F5" xr:uid="{00000000-0002-0000-1E00-000001000000}">
      <formula1>0</formula1>
      <formula2>100</formula2>
    </dataValidation>
  </dataValidations>
  <hyperlinks>
    <hyperlink ref="H43" r:id="rId1" xr:uid="{00000000-0004-0000-1E00-000000000000}"/>
    <hyperlink ref="H41" r:id="rId2" xr:uid="{00000000-0004-0000-1E00-000001000000}"/>
    <hyperlink ref="H44" r:id="rId3" xr:uid="{00000000-0004-0000-1E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4">
    <tabColor rgb="FF7030A0"/>
  </sheetPr>
  <dimension ref="A1:N54"/>
  <sheetViews>
    <sheetView showGridLines="0" showRowColHeaders="0" topLeftCell="A18" zoomScale="130" zoomScaleNormal="13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9" ht="24" customHeight="1" x14ac:dyDescent="0.25">
      <c r="A1" s="519" t="s">
        <v>224</v>
      </c>
      <c r="B1" s="519"/>
      <c r="C1" s="519"/>
      <c r="D1" s="519"/>
      <c r="E1" s="519"/>
      <c r="F1" s="519"/>
      <c r="G1" s="519"/>
      <c r="H1" s="519"/>
      <c r="I1" s="519"/>
    </row>
    <row r="2" spans="1:9" ht="12.75" customHeight="1" x14ac:dyDescent="0.25">
      <c r="A2" s="22"/>
      <c r="B2" s="22"/>
      <c r="C2" s="22"/>
      <c r="D2" s="22"/>
      <c r="E2" s="22"/>
      <c r="F2" s="22"/>
      <c r="G2" s="22"/>
    </row>
    <row r="3" spans="1:9" ht="18" customHeight="1" x14ac:dyDescent="0.3">
      <c r="A3" s="22"/>
      <c r="B3" s="42"/>
      <c r="C3" s="43"/>
      <c r="D3" s="133" t="s">
        <v>87</v>
      </c>
      <c r="E3" s="136">
        <v>200</v>
      </c>
      <c r="F3" s="158"/>
      <c r="G3" s="2"/>
      <c r="H3" s="3"/>
    </row>
    <row r="4" spans="1:9" ht="18" customHeight="1" x14ac:dyDescent="0.3">
      <c r="A4" s="22"/>
      <c r="B4" s="355"/>
      <c r="C4" s="356"/>
      <c r="D4" s="357" t="s">
        <v>77</v>
      </c>
      <c r="E4" s="358">
        <v>20</v>
      </c>
      <c r="F4" s="158"/>
      <c r="G4" s="2"/>
      <c r="H4" s="3"/>
    </row>
    <row r="5" spans="1:9" ht="18" customHeight="1" x14ac:dyDescent="0.3">
      <c r="A5" s="22"/>
      <c r="B5" s="42"/>
      <c r="C5" s="43"/>
      <c r="D5" s="134" t="s">
        <v>13</v>
      </c>
      <c r="E5" s="137">
        <v>5</v>
      </c>
      <c r="F5" s="159"/>
      <c r="G5" s="160"/>
      <c r="H5" s="160"/>
    </row>
    <row r="6" spans="1:9" ht="18" customHeight="1" x14ac:dyDescent="0.3">
      <c r="A6" s="22"/>
      <c r="B6" s="42"/>
      <c r="C6" s="43"/>
      <c r="D6" s="134" t="s">
        <v>218</v>
      </c>
      <c r="E6" s="346">
        <f>E3-(E4*0.75)+(E3*E5/100)</f>
        <v>195</v>
      </c>
      <c r="F6" s="16"/>
      <c r="G6" s="160"/>
      <c r="H6" s="160"/>
    </row>
    <row r="7" spans="1:9" ht="12.75" customHeight="1" x14ac:dyDescent="0.25">
      <c r="A7" s="22"/>
      <c r="B7" s="25"/>
      <c r="C7" s="25"/>
      <c r="D7" s="25"/>
      <c r="E7" s="22"/>
      <c r="F7" s="22"/>
      <c r="G7" s="160"/>
      <c r="H7" s="160"/>
    </row>
    <row r="8" spans="1:9" ht="18" customHeight="1" thickBot="1" x14ac:dyDescent="0.3">
      <c r="A8" s="22"/>
      <c r="B8" s="364" t="s">
        <v>100</v>
      </c>
      <c r="C8" s="101" t="s">
        <v>19</v>
      </c>
      <c r="D8" s="102" t="s">
        <v>20</v>
      </c>
      <c r="E8" s="102" t="s">
        <v>21</v>
      </c>
      <c r="F8" s="259" t="s">
        <v>22</v>
      </c>
      <c r="G8" s="239"/>
      <c r="H8" s="229"/>
    </row>
    <row r="9" spans="1:9" ht="18" customHeight="1" thickTop="1" x14ac:dyDescent="0.25">
      <c r="A9" s="22"/>
      <c r="B9" s="103" t="s">
        <v>11</v>
      </c>
      <c r="C9" s="88">
        <v>0.2</v>
      </c>
      <c r="D9" s="89">
        <v>0.2</v>
      </c>
      <c r="E9" s="89">
        <v>0.4</v>
      </c>
      <c r="F9" s="152">
        <v>0.2</v>
      </c>
      <c r="G9" s="74">
        <f>SUM(C9,D9,E9,F9)</f>
        <v>1</v>
      </c>
      <c r="H9" s="229"/>
    </row>
    <row r="10" spans="1:9" ht="12.75" customHeight="1" x14ac:dyDescent="0.25">
      <c r="A10" s="22"/>
      <c r="B10" s="51" t="s">
        <v>67</v>
      </c>
      <c r="C10" s="104">
        <v>0.48</v>
      </c>
      <c r="D10" s="105">
        <v>0.72</v>
      </c>
      <c r="E10" s="105">
        <v>0.96</v>
      </c>
      <c r="F10" s="242">
        <v>1.45</v>
      </c>
      <c r="G10" s="240"/>
      <c r="H10" s="203"/>
    </row>
    <row r="11" spans="1:9" ht="12.75" customHeight="1" thickBot="1" x14ac:dyDescent="0.3">
      <c r="A11" s="22"/>
      <c r="B11" s="49" t="s">
        <v>176</v>
      </c>
      <c r="C11" s="445">
        <f>ROUNDUP(5*C9/C10,0)</f>
        <v>3</v>
      </c>
      <c r="D11" s="396">
        <f t="shared" ref="D11:F11" si="0">ROUND(5*D9/D10,0)</f>
        <v>1</v>
      </c>
      <c r="E11" s="396">
        <f t="shared" si="0"/>
        <v>2</v>
      </c>
      <c r="F11" s="396">
        <f t="shared" si="0"/>
        <v>1</v>
      </c>
      <c r="G11" s="155"/>
      <c r="H11" s="490" t="s">
        <v>289</v>
      </c>
      <c r="I11" s="490"/>
    </row>
    <row r="12" spans="1:9" ht="12.75" hidden="1" customHeight="1" thickBot="1" x14ac:dyDescent="0.3">
      <c r="A12" s="22"/>
      <c r="B12" s="446" t="s">
        <v>240</v>
      </c>
      <c r="C12" s="536">
        <f>((C11*C10)+(D11*D10)+(E11*E10)+(F10*F11))</f>
        <v>5.53</v>
      </c>
      <c r="D12" s="536"/>
      <c r="E12" s="536"/>
      <c r="F12" s="537"/>
      <c r="G12" s="155"/>
      <c r="H12" s="490"/>
      <c r="I12" s="490"/>
    </row>
    <row r="13" spans="1:9" ht="18" customHeight="1" thickBot="1" x14ac:dyDescent="0.3">
      <c r="A13" s="22"/>
      <c r="B13" s="140" t="s">
        <v>66</v>
      </c>
      <c r="C13" s="449">
        <f>$E$6*C9/C10</f>
        <v>81.25</v>
      </c>
      <c r="D13" s="449">
        <f t="shared" ref="D13:F13" si="1">$E$6*D9/D10</f>
        <v>54.166666666666671</v>
      </c>
      <c r="E13" s="449">
        <f t="shared" si="1"/>
        <v>81.25</v>
      </c>
      <c r="F13" s="449">
        <f t="shared" si="1"/>
        <v>26.896551724137932</v>
      </c>
      <c r="G13" s="260"/>
      <c r="H13" s="490"/>
      <c r="I13" s="490"/>
    </row>
    <row r="14" spans="1:9" ht="18" customHeight="1" x14ac:dyDescent="0.25">
      <c r="A14" s="22"/>
      <c r="B14" s="140" t="s">
        <v>113</v>
      </c>
      <c r="C14" s="542">
        <f>ROUND((C13+D13+E13+F13)/(C11+D11+E11+F11),0)</f>
        <v>35</v>
      </c>
      <c r="D14" s="538"/>
      <c r="E14" s="538"/>
      <c r="F14" s="543"/>
      <c r="G14" s="260"/>
      <c r="H14" s="490"/>
      <c r="I14" s="490"/>
    </row>
    <row r="15" spans="1:9" ht="12.75" hidden="1" customHeight="1" x14ac:dyDescent="0.25">
      <c r="A15" s="22"/>
      <c r="B15" s="143" t="s">
        <v>71</v>
      </c>
      <c r="C15" s="78">
        <f>C12*C16</f>
        <v>0</v>
      </c>
      <c r="D15" s="78">
        <f>D12*D16</f>
        <v>0</v>
      </c>
      <c r="E15" s="78">
        <f>E12*E16</f>
        <v>0</v>
      </c>
      <c r="F15" s="78">
        <f>F12*F16</f>
        <v>0</v>
      </c>
      <c r="G15" s="240"/>
      <c r="H15" s="490"/>
      <c r="I15" s="490"/>
    </row>
    <row r="16" spans="1:9" ht="12.75" hidden="1" customHeight="1" x14ac:dyDescent="0.25">
      <c r="A16" s="22"/>
      <c r="B16" s="217" t="s">
        <v>70</v>
      </c>
      <c r="C16" s="236">
        <v>0</v>
      </c>
      <c r="D16" s="236">
        <v>0</v>
      </c>
      <c r="E16" s="236">
        <v>0</v>
      </c>
      <c r="F16" s="236">
        <v>0</v>
      </c>
      <c r="G16" s="240"/>
      <c r="H16" s="490"/>
      <c r="I16" s="490"/>
    </row>
    <row r="17" spans="1:9" ht="12.75" hidden="1" customHeight="1" x14ac:dyDescent="0.25">
      <c r="A17" s="22"/>
      <c r="B17" s="219" t="s">
        <v>72</v>
      </c>
      <c r="C17" s="78">
        <f>+C13*C10</f>
        <v>39</v>
      </c>
      <c r="D17" s="78">
        <f>+D13*D10</f>
        <v>39</v>
      </c>
      <c r="E17" s="78">
        <f>+E13*E10</f>
        <v>78</v>
      </c>
      <c r="F17" s="78">
        <f>+F13*F10</f>
        <v>39</v>
      </c>
      <c r="G17" s="240"/>
      <c r="H17" s="203"/>
    </row>
    <row r="18" spans="1:9" ht="12.75" customHeight="1" x14ac:dyDescent="0.25">
      <c r="A18" s="22"/>
      <c r="B18" s="262"/>
      <c r="C18" s="218"/>
      <c r="D18" s="218"/>
      <c r="E18" s="218"/>
      <c r="F18" s="218"/>
      <c r="G18" s="240"/>
      <c r="H18" s="203"/>
    </row>
    <row r="19" spans="1:9" ht="18" customHeight="1" thickBot="1" x14ac:dyDescent="0.3">
      <c r="A19" s="22"/>
      <c r="B19" s="371" t="s">
        <v>99</v>
      </c>
      <c r="C19" s="101" t="s">
        <v>19</v>
      </c>
      <c r="D19" s="102" t="s">
        <v>20</v>
      </c>
      <c r="E19" s="102" t="s">
        <v>21</v>
      </c>
      <c r="F19" s="259" t="s">
        <v>22</v>
      </c>
      <c r="G19" s="367"/>
      <c r="H19"/>
    </row>
    <row r="20" spans="1:9" ht="18" customHeight="1" thickTop="1" x14ac:dyDescent="0.25">
      <c r="A20" s="22"/>
      <c r="B20" s="368" t="s">
        <v>11</v>
      </c>
      <c r="C20" s="365">
        <v>0.2</v>
      </c>
      <c r="D20" s="366">
        <v>0.2</v>
      </c>
      <c r="E20" s="366">
        <v>0.4</v>
      </c>
      <c r="F20" s="366">
        <v>0.2</v>
      </c>
      <c r="G20" s="74">
        <f>SUM(C20,D20,E20,F20)</f>
        <v>1</v>
      </c>
      <c r="H20"/>
    </row>
    <row r="21" spans="1:9" ht="12.75" customHeight="1" x14ac:dyDescent="0.25">
      <c r="A21" s="22"/>
      <c r="B21" s="372" t="s">
        <v>221</v>
      </c>
      <c r="C21" s="373">
        <v>0.24</v>
      </c>
      <c r="D21" s="374">
        <v>0.36</v>
      </c>
      <c r="E21" s="374">
        <v>0.48</v>
      </c>
      <c r="F21" s="374">
        <v>0.72</v>
      </c>
      <c r="G21" s="367"/>
      <c r="H21"/>
    </row>
    <row r="22" spans="1:9" ht="12.75" customHeight="1" thickBot="1" x14ac:dyDescent="0.3">
      <c r="A22" s="22"/>
      <c r="B22" s="372" t="s">
        <v>176</v>
      </c>
      <c r="C22" s="383">
        <f>ROUND(5*C20/C21,0)</f>
        <v>4</v>
      </c>
      <c r="D22" s="384">
        <f>ROUND(5*D20/D21,0)</f>
        <v>3</v>
      </c>
      <c r="E22" s="432">
        <v>5</v>
      </c>
      <c r="F22" s="384">
        <f>ROUND(5*F20/F21,0)</f>
        <v>1</v>
      </c>
      <c r="G22" s="367"/>
      <c r="H22"/>
    </row>
    <row r="23" spans="1:9" ht="12.75" hidden="1" customHeight="1" thickBot="1" x14ac:dyDescent="0.3">
      <c r="A23" s="22"/>
      <c r="B23" s="51" t="s">
        <v>240</v>
      </c>
      <c r="C23" s="535">
        <f>((C22*C21)+(D22*D21)+(E22*E21)+(F21*F22))</f>
        <v>5.1599999999999993</v>
      </c>
      <c r="D23" s="536"/>
      <c r="E23" s="536"/>
      <c r="F23" s="537"/>
      <c r="G23" s="367"/>
      <c r="H23"/>
    </row>
    <row r="24" spans="1:9" ht="12.75" customHeight="1" x14ac:dyDescent="0.25">
      <c r="A24" s="22"/>
      <c r="B24" s="441" t="s">
        <v>66</v>
      </c>
      <c r="C24" s="438">
        <f>$E$4*C20/C21</f>
        <v>16.666666666666668</v>
      </c>
      <c r="D24" s="437">
        <f t="shared" ref="D24:F24" si="2">$E$4*D20/D21</f>
        <v>11.111111111111111</v>
      </c>
      <c r="E24" s="437">
        <f t="shared" si="2"/>
        <v>16.666666666666668</v>
      </c>
      <c r="F24" s="437">
        <f t="shared" si="2"/>
        <v>5.5555555555555554</v>
      </c>
      <c r="G24" s="367"/>
      <c r="H24"/>
    </row>
    <row r="25" spans="1:9" s="378" customFormat="1" ht="18" customHeight="1" x14ac:dyDescent="0.3">
      <c r="A25" s="375"/>
      <c r="B25" s="380" t="s">
        <v>113</v>
      </c>
      <c r="C25" s="539">
        <f>ROUND((C24+D24+E24+F24) / (C22+D22+E22+F22),0)</f>
        <v>4</v>
      </c>
      <c r="D25" s="540"/>
      <c r="E25" s="540"/>
      <c r="F25" s="541"/>
      <c r="G25" s="376"/>
      <c r="H25" s="377"/>
    </row>
    <row r="26" spans="1:9" ht="12.75" hidden="1" customHeight="1" x14ac:dyDescent="0.25">
      <c r="A26" s="22"/>
      <c r="B26" s="379" t="s">
        <v>76</v>
      </c>
      <c r="C26" s="525">
        <v>0</v>
      </c>
      <c r="D26" s="525"/>
      <c r="E26" s="525"/>
      <c r="F26" s="525"/>
      <c r="G26" s="218"/>
    </row>
    <row r="27" spans="1:9" ht="12.75" customHeight="1" x14ac:dyDescent="0.25">
      <c r="A27" s="22"/>
      <c r="B27" s="217"/>
      <c r="C27" s="157"/>
      <c r="D27" s="161"/>
      <c r="E27" s="161"/>
      <c r="F27" s="161"/>
      <c r="G27" s="161"/>
    </row>
    <row r="28" spans="1:9" ht="18" customHeight="1" x14ac:dyDescent="0.25">
      <c r="A28" s="351"/>
      <c r="B28" s="351"/>
      <c r="C28" s="352" t="s">
        <v>115</v>
      </c>
      <c r="D28" s="353">
        <f>(C13*C10)+(D13*D10)+(E13*E10)+(F13*F10)</f>
        <v>195</v>
      </c>
      <c r="E28" s="354" t="s">
        <v>216</v>
      </c>
      <c r="F28" s="351"/>
      <c r="G28" s="351"/>
      <c r="H28" s="351"/>
      <c r="I28" s="351"/>
    </row>
    <row r="29" spans="1:9" ht="18" customHeight="1" x14ac:dyDescent="0.25">
      <c r="A29" s="351"/>
      <c r="B29" s="351"/>
      <c r="C29" s="352" t="s">
        <v>102</v>
      </c>
      <c r="D29" s="353">
        <f>(C13*C16)+(D13*D16)+(E13*E16)+(F13*F16)</f>
        <v>0</v>
      </c>
      <c r="E29" s="354" t="s">
        <v>3</v>
      </c>
      <c r="F29" s="351"/>
      <c r="G29" s="351"/>
      <c r="H29" s="351"/>
      <c r="I29" s="351"/>
    </row>
    <row r="30" spans="1:9" ht="18" customHeight="1" x14ac:dyDescent="0.3">
      <c r="A30" s="359"/>
      <c r="B30" s="359"/>
      <c r="C30" s="360" t="s">
        <v>98</v>
      </c>
      <c r="D30" s="361">
        <f>C23*C25</f>
        <v>20.639999999999997</v>
      </c>
      <c r="E30" s="362" t="s">
        <v>217</v>
      </c>
      <c r="F30" s="363"/>
      <c r="G30" s="359"/>
      <c r="H30" s="355"/>
      <c r="I30" s="355"/>
    </row>
    <row r="31" spans="1:9" ht="18" customHeight="1" x14ac:dyDescent="0.3">
      <c r="A31" s="359"/>
      <c r="B31" s="359"/>
      <c r="C31" s="360" t="s">
        <v>103</v>
      </c>
      <c r="D31" s="361">
        <f>C25*C26</f>
        <v>0</v>
      </c>
      <c r="E31" s="362" t="s">
        <v>3</v>
      </c>
      <c r="F31" s="363"/>
      <c r="G31" s="359"/>
      <c r="H31" s="355"/>
      <c r="I31" s="355"/>
    </row>
    <row r="32" spans="1:9" ht="18" customHeight="1" x14ac:dyDescent="0.25">
      <c r="A32" s="39"/>
      <c r="B32" s="39"/>
      <c r="C32" s="69" t="s">
        <v>95</v>
      </c>
      <c r="D32" s="70">
        <f>ROUNDUP(D28/25,0)</f>
        <v>8</v>
      </c>
      <c r="E32" s="294" t="s">
        <v>170</v>
      </c>
      <c r="F32" s="40"/>
      <c r="G32" s="39"/>
      <c r="H32" s="35"/>
      <c r="I32" s="35"/>
    </row>
    <row r="33" spans="1:14" ht="12.75" customHeight="1" x14ac:dyDescent="0.25">
      <c r="A33" s="39"/>
      <c r="B33" s="487" t="s">
        <v>8</v>
      </c>
      <c r="C33" s="487"/>
      <c r="D33" s="487"/>
      <c r="E33" s="487"/>
      <c r="F33" s="487"/>
      <c r="G33" s="487"/>
      <c r="H33" s="35"/>
      <c r="I33" s="35"/>
    </row>
    <row r="34" spans="1:14" ht="18" customHeight="1" x14ac:dyDescent="0.25">
      <c r="A34" s="351"/>
      <c r="B34" s="351"/>
      <c r="C34" s="352" t="s">
        <v>96</v>
      </c>
      <c r="D34" s="353">
        <f>SUM(D29+D31)</f>
        <v>0</v>
      </c>
      <c r="E34" s="354" t="s">
        <v>3</v>
      </c>
      <c r="F34" s="351"/>
      <c r="G34" s="351"/>
      <c r="H34" s="351"/>
      <c r="I34" s="351"/>
    </row>
    <row r="35" spans="1:14" ht="12.75" customHeight="1" x14ac:dyDescent="0.25"/>
    <row r="36" spans="1:14" ht="12.75" customHeight="1" x14ac:dyDescent="0.25">
      <c r="K36" s="11"/>
      <c r="L36" s="11"/>
      <c r="M36" s="11"/>
      <c r="N36" s="11"/>
    </row>
    <row r="37" spans="1:14" ht="12.75" customHeight="1" x14ac:dyDescent="0.25">
      <c r="K37" s="11"/>
      <c r="L37" s="11"/>
      <c r="M37" s="11"/>
      <c r="N37" s="11"/>
    </row>
    <row r="38" spans="1:14" ht="18" customHeight="1" x14ac:dyDescent="0.25">
      <c r="H38" s="223" t="s">
        <v>9</v>
      </c>
      <c r="K38" s="11"/>
      <c r="L38" s="11"/>
      <c r="M38" s="11"/>
      <c r="N38" s="11"/>
    </row>
    <row r="39" spans="1:14" s="11" customFormat="1" ht="12.75" customHeight="1" x14ac:dyDescent="0.25">
      <c r="A39" s="13"/>
      <c r="B39" s="13"/>
      <c r="C39" s="13"/>
      <c r="D39" s="13"/>
      <c r="E39" s="13"/>
      <c r="F39" s="13"/>
      <c r="G39" s="13"/>
      <c r="H39" s="13"/>
    </row>
    <row r="40" spans="1:14" s="11" customFormat="1" ht="12.75" customHeight="1" x14ac:dyDescent="0.25">
      <c r="A40" s="13"/>
      <c r="B40" s="13"/>
      <c r="C40" s="13"/>
      <c r="D40" s="13"/>
      <c r="F40" s="13"/>
      <c r="G40" s="13"/>
      <c r="H40" s="224" t="s">
        <v>56</v>
      </c>
    </row>
    <row r="41" spans="1:14" s="11" customFormat="1" ht="12.75" customHeight="1" x14ac:dyDescent="0.25">
      <c r="A41" s="13"/>
      <c r="B41" s="13"/>
      <c r="C41" s="13"/>
      <c r="D41" s="13"/>
      <c r="E41" s="13"/>
      <c r="F41" s="13"/>
      <c r="G41" s="13"/>
      <c r="H41" s="199" t="s">
        <v>55</v>
      </c>
    </row>
    <row r="42" spans="1:14" s="11" customFormat="1" ht="12.75" customHeight="1" x14ac:dyDescent="0.25">
      <c r="A42" s="13"/>
      <c r="B42" s="13"/>
      <c r="C42" s="13"/>
      <c r="D42" s="13"/>
      <c r="E42" s="13"/>
      <c r="F42" s="13"/>
      <c r="G42" s="13"/>
      <c r="H42" s="246"/>
    </row>
    <row r="43" spans="1:14" s="11" customFormat="1" ht="12.75" customHeight="1" x14ac:dyDescent="0.25">
      <c r="A43" s="13"/>
      <c r="B43" s="13"/>
      <c r="C43" s="13"/>
      <c r="D43" s="13"/>
      <c r="E43" s="13"/>
      <c r="F43" s="13"/>
      <c r="G43" s="13"/>
      <c r="H43" s="199" t="s">
        <v>57</v>
      </c>
    </row>
    <row r="44" spans="1:14" s="11" customFormat="1" ht="12.75" customHeight="1" x14ac:dyDescent="0.25">
      <c r="A44" s="13"/>
      <c r="B44" s="13"/>
      <c r="C44" s="13"/>
      <c r="D44" s="13"/>
      <c r="E44" s="13"/>
      <c r="F44" s="13"/>
      <c r="H44" s="199" t="s">
        <v>10</v>
      </c>
    </row>
    <row r="45" spans="1:14" s="11" customFormat="1" ht="12.75" customHeight="1" x14ac:dyDescent="0.25">
      <c r="A45" s="13"/>
      <c r="B45" s="13"/>
      <c r="C45" s="13"/>
      <c r="D45" s="13"/>
      <c r="E45" s="13"/>
      <c r="F45" s="13"/>
      <c r="H45" s="225" t="s">
        <v>7</v>
      </c>
    </row>
    <row r="46" spans="1:14" s="11" customFormat="1" ht="12.75" customHeight="1" x14ac:dyDescent="0.25">
      <c r="A46" s="13"/>
      <c r="B46" s="13"/>
      <c r="C46" s="13"/>
      <c r="D46" s="13"/>
      <c r="E46" s="13"/>
      <c r="F46" s="13"/>
      <c r="H46" s="225"/>
    </row>
    <row r="47" spans="1:14" s="11" customFormat="1" ht="12.75" customHeight="1" x14ac:dyDescent="0.25">
      <c r="A47" s="13"/>
      <c r="B47" s="13"/>
      <c r="C47" s="13"/>
      <c r="D47" s="13"/>
      <c r="E47" s="13"/>
      <c r="F47" s="13"/>
      <c r="H47" s="225"/>
    </row>
    <row r="48" spans="1:14" s="11" customFormat="1" ht="12.75" customHeight="1" x14ac:dyDescent="0.25">
      <c r="A48" s="13"/>
      <c r="B48" s="13"/>
      <c r="C48" s="13"/>
      <c r="D48" s="13"/>
      <c r="E48" s="13"/>
      <c r="F48" s="13"/>
      <c r="H48" s="225"/>
    </row>
    <row r="49" spans="1:8" s="11" customFormat="1" ht="12.75" customHeight="1" x14ac:dyDescent="0.25">
      <c r="A49" s="13"/>
      <c r="B49" s="13"/>
      <c r="C49" s="13"/>
      <c r="D49" s="13"/>
      <c r="E49" s="13"/>
      <c r="F49" s="13"/>
      <c r="H49" s="225"/>
    </row>
    <row r="50" spans="1:8" s="11" customFormat="1" ht="12.75" customHeight="1" x14ac:dyDescent="0.25">
      <c r="A50" s="13"/>
      <c r="B50" s="13"/>
      <c r="C50" s="13"/>
      <c r="D50" s="13"/>
      <c r="E50" s="13"/>
      <c r="F50" s="13"/>
      <c r="H50" s="225"/>
    </row>
    <row r="51" spans="1:8" s="11" customFormat="1" ht="12.75" customHeight="1" x14ac:dyDescent="0.25">
      <c r="A51" s="13"/>
      <c r="B51" s="13"/>
      <c r="C51" s="13"/>
      <c r="D51" s="13"/>
      <c r="E51" s="13"/>
      <c r="F51" s="13"/>
      <c r="H51" s="225"/>
    </row>
    <row r="52" spans="1:8" ht="21" customHeight="1" x14ac:dyDescent="0.3">
      <c r="B52" s="15" t="s">
        <v>16</v>
      </c>
      <c r="C52" s="114"/>
      <c r="D52" s="114"/>
      <c r="E52" s="114"/>
      <c r="F52" s="114"/>
      <c r="G52" s="246"/>
      <c r="H52" s="246"/>
    </row>
    <row r="53" spans="1:8" ht="21" customHeight="1" x14ac:dyDescent="0.25">
      <c r="B53" s="13"/>
      <c r="C53" s="112"/>
      <c r="D53" s="112"/>
      <c r="E53" s="112"/>
      <c r="F53" s="112"/>
      <c r="G53" s="112"/>
      <c r="H53" s="112"/>
    </row>
    <row r="54" spans="1:8" ht="21" customHeight="1" x14ac:dyDescent="0.25">
      <c r="C54" s="114"/>
      <c r="D54" s="114"/>
      <c r="E54" s="114"/>
      <c r="F54" s="114"/>
      <c r="G54" s="114"/>
      <c r="H54" s="114"/>
    </row>
  </sheetData>
  <sheetProtection algorithmName="SHA-512" hashValue="ky26C7i7igdeFIJOB/S9DqjZFCib4NmgQObffUt/ABDH3VDGHEh1tz1wuxeRwOE4gRu7nTY6Jxdp1DGiu822pQ==" saltValue="4EKp6r/0IJnNe5oNqeYzDQ==" spinCount="100000" sheet="1" selectLockedCells="1"/>
  <mergeCells count="8">
    <mergeCell ref="H11:I16"/>
    <mergeCell ref="A1:I1"/>
    <mergeCell ref="B33:G33"/>
    <mergeCell ref="C23:F23"/>
    <mergeCell ref="C25:F25"/>
    <mergeCell ref="C26:F26"/>
    <mergeCell ref="C12:F12"/>
    <mergeCell ref="C14:F14"/>
  </mergeCells>
  <conditionalFormatting sqref="C12:F12">
    <cfRule type="cellIs" dxfId="13" priority="3" operator="greaterThan">
      <formula>5</formula>
    </cfRule>
    <cfRule type="cellIs" dxfId="12" priority="4" operator="lessThan">
      <formula>5</formula>
    </cfRule>
  </conditionalFormatting>
  <conditionalFormatting sqref="C23:F23">
    <cfRule type="cellIs" dxfId="11" priority="1" operator="greaterThan">
      <formula>5</formula>
    </cfRule>
    <cfRule type="cellIs" dxfId="10" priority="2" operator="lessThan">
      <formula>5</formula>
    </cfRule>
  </conditionalFormatting>
  <dataValidations disablePrompts="1" count="2"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5" xr:uid="{00000000-0002-0000-1F00-000000000000}">
      <formula1>0</formula1>
      <formula2>100</formula2>
    </dataValidation>
    <dataValidation type="whole" errorStyle="warning" allowBlank="1" showInputMessage="1" showErrorMessage="1" errorTitle="Waste Allowance" error="Based upon our experience waste factors less than 5% may result in a shortage of product delivered to site.  " sqref="F5" xr:uid="{00000000-0002-0000-1F00-000001000000}">
      <formula1>0</formula1>
      <formula2>100</formula2>
    </dataValidation>
  </dataValidations>
  <hyperlinks>
    <hyperlink ref="H43" r:id="rId1" xr:uid="{00000000-0004-0000-1F00-000000000000}"/>
    <hyperlink ref="H41" r:id="rId2" xr:uid="{00000000-0004-0000-1F00-000001000000}"/>
    <hyperlink ref="H44" r:id="rId3" xr:uid="{00000000-0004-0000-1F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5">
    <tabColor rgb="FF7030A0"/>
  </sheetPr>
  <dimension ref="A1:N54"/>
  <sheetViews>
    <sheetView showGridLines="0" showRowColHeaders="0" zoomScale="130" zoomScaleNormal="13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9" ht="24" customHeight="1" x14ac:dyDescent="0.25">
      <c r="A1" s="519" t="s">
        <v>225</v>
      </c>
      <c r="B1" s="519"/>
      <c r="C1" s="519"/>
      <c r="D1" s="519"/>
      <c r="E1" s="519"/>
      <c r="F1" s="519"/>
      <c r="G1" s="519"/>
      <c r="H1" s="519"/>
    </row>
    <row r="2" spans="1:9" ht="12.75" customHeight="1" x14ac:dyDescent="0.25">
      <c r="A2" s="22"/>
      <c r="B2" s="22"/>
      <c r="C2" s="22"/>
      <c r="D2" s="22"/>
      <c r="E2" s="22"/>
      <c r="F2" s="22"/>
      <c r="G2" s="22"/>
    </row>
    <row r="3" spans="1:9" ht="18" customHeight="1" x14ac:dyDescent="0.3">
      <c r="A3" s="22"/>
      <c r="B3" s="42"/>
      <c r="C3" s="43"/>
      <c r="D3" s="133" t="s">
        <v>87</v>
      </c>
      <c r="E3" s="136">
        <v>200</v>
      </c>
      <c r="F3" s="158"/>
      <c r="G3" s="2"/>
      <c r="H3" s="3"/>
    </row>
    <row r="4" spans="1:9" ht="18" customHeight="1" x14ac:dyDescent="0.3">
      <c r="A4" s="22"/>
      <c r="B4" s="355"/>
      <c r="C4" s="356"/>
      <c r="D4" s="357" t="s">
        <v>77</v>
      </c>
      <c r="E4" s="358">
        <v>20</v>
      </c>
      <c r="F4" s="158"/>
      <c r="G4" s="2"/>
      <c r="H4" s="3"/>
    </row>
    <row r="5" spans="1:9" ht="18" customHeight="1" x14ac:dyDescent="0.3">
      <c r="A5" s="22"/>
      <c r="B5" s="42"/>
      <c r="C5" s="43"/>
      <c r="D5" s="134" t="s">
        <v>13</v>
      </c>
      <c r="E5" s="137">
        <v>5</v>
      </c>
      <c r="F5" s="159"/>
      <c r="G5" s="160"/>
      <c r="H5" s="160"/>
    </row>
    <row r="6" spans="1:9" ht="18" customHeight="1" x14ac:dyDescent="0.3">
      <c r="A6" s="22"/>
      <c r="B6" s="42"/>
      <c r="C6" s="43"/>
      <c r="D6" s="134" t="s">
        <v>218</v>
      </c>
      <c r="E6" s="346">
        <f>E3-(E4*0.75)+(E3*E5/100)</f>
        <v>195</v>
      </c>
      <c r="F6" s="16"/>
      <c r="G6" s="160"/>
      <c r="H6" s="160"/>
    </row>
    <row r="7" spans="1:9" ht="12.75" customHeight="1" x14ac:dyDescent="0.25">
      <c r="A7" s="22"/>
      <c r="B7" s="25"/>
      <c r="C7" s="25"/>
      <c r="D7" s="25"/>
      <c r="E7" s="22"/>
      <c r="F7" s="22"/>
      <c r="G7" s="160"/>
      <c r="H7" s="160"/>
    </row>
    <row r="8" spans="1:9" ht="18" customHeight="1" thickBot="1" x14ac:dyDescent="0.3">
      <c r="A8" s="22"/>
      <c r="B8" s="364" t="s">
        <v>100</v>
      </c>
      <c r="C8" s="101" t="s">
        <v>52</v>
      </c>
      <c r="D8" s="102" t="s">
        <v>53</v>
      </c>
      <c r="E8" s="102" t="s">
        <v>54</v>
      </c>
      <c r="F8"/>
      <c r="G8" s="239"/>
      <c r="H8" s="229"/>
    </row>
    <row r="9" spans="1:9" ht="18" customHeight="1" thickTop="1" x14ac:dyDescent="0.25">
      <c r="A9" s="22"/>
      <c r="B9" s="103" t="s">
        <v>11</v>
      </c>
      <c r="C9" s="88">
        <v>0.22</v>
      </c>
      <c r="D9" s="89">
        <v>0.33</v>
      </c>
      <c r="E9" s="89">
        <v>0.45</v>
      </c>
      <c r="F9"/>
      <c r="G9" s="74">
        <f>SUM(C9,D9,E9,F9)</f>
        <v>1</v>
      </c>
      <c r="H9" s="229"/>
    </row>
    <row r="10" spans="1:9" ht="12.75" customHeight="1" x14ac:dyDescent="0.25">
      <c r="A10" s="22"/>
      <c r="B10" s="51" t="s">
        <v>67</v>
      </c>
      <c r="C10" s="104">
        <v>0.45</v>
      </c>
      <c r="D10" s="105">
        <v>0.56999999999999995</v>
      </c>
      <c r="E10" s="105">
        <v>1.19</v>
      </c>
      <c r="F10"/>
      <c r="G10" s="240"/>
      <c r="H10" s="203"/>
    </row>
    <row r="11" spans="1:9" ht="12.75" customHeight="1" thickBot="1" x14ac:dyDescent="0.3">
      <c r="A11" s="22"/>
      <c r="B11" s="49" t="s">
        <v>176</v>
      </c>
      <c r="C11" s="445">
        <f>ROUNDUP(5*C9/C10,0)</f>
        <v>3</v>
      </c>
      <c r="D11" s="107">
        <f>ROUND(5*D9/D10,0)</f>
        <v>3</v>
      </c>
      <c r="E11" s="107">
        <f>ROUND(5*E9/E10,0)</f>
        <v>2</v>
      </c>
      <c r="F11"/>
      <c r="G11" s="490" t="s">
        <v>289</v>
      </c>
      <c r="H11" s="490"/>
      <c r="I11"/>
    </row>
    <row r="12" spans="1:9" ht="12.75" hidden="1" customHeight="1" thickBot="1" x14ac:dyDescent="0.3">
      <c r="A12" s="22"/>
      <c r="B12" s="446" t="s">
        <v>240</v>
      </c>
      <c r="C12" s="536">
        <f>((C11*C10)+(D11*D10)+(E11*E10))</f>
        <v>5.4399999999999995</v>
      </c>
      <c r="D12" s="536"/>
      <c r="E12" s="537"/>
      <c r="F12"/>
      <c r="G12" s="490"/>
      <c r="H12" s="490"/>
      <c r="I12"/>
    </row>
    <row r="13" spans="1:9" ht="18" customHeight="1" x14ac:dyDescent="0.25">
      <c r="A13" s="22"/>
      <c r="B13" s="140" t="s">
        <v>66</v>
      </c>
      <c r="C13" s="123">
        <f>$E$6*C9/C10</f>
        <v>95.333333333333329</v>
      </c>
      <c r="D13" s="123">
        <f t="shared" ref="D13:E13" si="0">$E$6*D9/D10</f>
        <v>112.89473684210529</v>
      </c>
      <c r="E13" s="123">
        <f t="shared" si="0"/>
        <v>73.739495798319325</v>
      </c>
      <c r="F13"/>
      <c r="G13" s="490"/>
      <c r="H13" s="490"/>
    </row>
    <row r="14" spans="1:9" ht="18" customHeight="1" x14ac:dyDescent="0.25">
      <c r="A14" s="22"/>
      <c r="B14" s="440" t="s">
        <v>113</v>
      </c>
      <c r="C14" s="538">
        <f>ROUND((C13+D13+E13)/(C11+D11+E11),0)</f>
        <v>35</v>
      </c>
      <c r="D14" s="538"/>
      <c r="E14" s="523"/>
      <c r="F14"/>
      <c r="G14" s="490"/>
      <c r="H14" s="490"/>
    </row>
    <row r="15" spans="1:9" ht="12.75" hidden="1" customHeight="1" x14ac:dyDescent="0.25">
      <c r="A15" s="22"/>
      <c r="B15" s="143" t="s">
        <v>71</v>
      </c>
      <c r="C15" s="78">
        <f>C12*C16</f>
        <v>0</v>
      </c>
      <c r="D15" s="78">
        <f>D12*D16</f>
        <v>0</v>
      </c>
      <c r="E15" s="78">
        <f>E12*E16</f>
        <v>0</v>
      </c>
      <c r="F15"/>
      <c r="G15" s="490"/>
      <c r="H15" s="490"/>
    </row>
    <row r="16" spans="1:9" ht="12.75" hidden="1" customHeight="1" x14ac:dyDescent="0.25">
      <c r="A16" s="22"/>
      <c r="B16" s="217" t="s">
        <v>70</v>
      </c>
      <c r="C16" s="236">
        <v>0</v>
      </c>
      <c r="D16" s="236">
        <v>0</v>
      </c>
      <c r="E16" s="236">
        <v>0</v>
      </c>
      <c r="F16"/>
      <c r="G16" s="490"/>
      <c r="H16" s="490"/>
    </row>
    <row r="17" spans="1:8" ht="12.75" hidden="1" customHeight="1" x14ac:dyDescent="0.25">
      <c r="A17" s="22"/>
      <c r="B17" s="219" t="s">
        <v>72</v>
      </c>
      <c r="C17" s="78">
        <f>+C13*C10</f>
        <v>42.9</v>
      </c>
      <c r="D17" s="78">
        <f>+D13*D10</f>
        <v>64.350000000000009</v>
      </c>
      <c r="E17" s="78">
        <f>+E13*E10</f>
        <v>87.75</v>
      </c>
      <c r="F17"/>
      <c r="G17" s="240"/>
      <c r="H17" s="203"/>
    </row>
    <row r="18" spans="1:8" ht="12.75" customHeight="1" x14ac:dyDescent="0.25">
      <c r="A18" s="22"/>
      <c r="B18" s="262"/>
      <c r="C18" s="218"/>
      <c r="D18" s="218"/>
      <c r="E18" s="218"/>
      <c r="F18"/>
      <c r="G18" s="240"/>
      <c r="H18" s="203"/>
    </row>
    <row r="19" spans="1:8" ht="18" customHeight="1" thickBot="1" x14ac:dyDescent="0.3">
      <c r="A19" s="22"/>
      <c r="B19" s="371" t="s">
        <v>99</v>
      </c>
      <c r="C19" s="101" t="s">
        <v>52</v>
      </c>
      <c r="D19" s="102" t="s">
        <v>53</v>
      </c>
      <c r="E19" s="102" t="s">
        <v>54</v>
      </c>
      <c r="F19"/>
      <c r="G19" s="367"/>
      <c r="H19"/>
    </row>
    <row r="20" spans="1:8" ht="18" customHeight="1" thickTop="1" x14ac:dyDescent="0.25">
      <c r="A20" s="22"/>
      <c r="B20" s="368" t="s">
        <v>11</v>
      </c>
      <c r="C20" s="365">
        <v>0.22</v>
      </c>
      <c r="D20" s="366">
        <v>0.33</v>
      </c>
      <c r="E20" s="366">
        <v>0.45</v>
      </c>
      <c r="F20"/>
      <c r="G20" s="74">
        <f>SUM(C20,D20,E20,F20)</f>
        <v>1</v>
      </c>
      <c r="H20"/>
    </row>
    <row r="21" spans="1:8" ht="12.75" customHeight="1" x14ac:dyDescent="0.25">
      <c r="A21" s="22"/>
      <c r="B21" s="372" t="s">
        <v>221</v>
      </c>
      <c r="C21" s="373">
        <v>0.22</v>
      </c>
      <c r="D21" s="374">
        <v>0.33</v>
      </c>
      <c r="E21" s="374">
        <v>0.45</v>
      </c>
      <c r="F21"/>
      <c r="G21" s="367"/>
      <c r="H21"/>
    </row>
    <row r="22" spans="1:8" ht="12.75" customHeight="1" thickBot="1" x14ac:dyDescent="0.3">
      <c r="A22" s="22"/>
      <c r="B22" s="372" t="s">
        <v>176</v>
      </c>
      <c r="C22" s="383">
        <f>ROUND(5*C20/C21,0)</f>
        <v>5</v>
      </c>
      <c r="D22" s="384">
        <f>ROUND(5*D20/D21,0)</f>
        <v>5</v>
      </c>
      <c r="E22" s="384">
        <f>ROUND(5*E20/E21,0)</f>
        <v>5</v>
      </c>
      <c r="F22"/>
      <c r="G22" s="367"/>
      <c r="H22"/>
    </row>
    <row r="23" spans="1:8" ht="12.75" hidden="1" customHeight="1" thickBot="1" x14ac:dyDescent="0.3">
      <c r="A23" s="22"/>
      <c r="B23" s="446" t="s">
        <v>240</v>
      </c>
      <c r="C23" s="535">
        <f>((C22*C21)+(D22*D21)+(E22*E21))</f>
        <v>5</v>
      </c>
      <c r="D23" s="536"/>
      <c r="E23" s="537"/>
      <c r="F23"/>
      <c r="G23" s="367"/>
      <c r="H23"/>
    </row>
    <row r="24" spans="1:8" ht="12.75" customHeight="1" x14ac:dyDescent="0.25">
      <c r="A24" s="22"/>
      <c r="B24" s="140" t="s">
        <v>66</v>
      </c>
      <c r="C24" s="435">
        <f>$E$4*C20/C21</f>
        <v>20</v>
      </c>
      <c r="D24" s="436">
        <f t="shared" ref="D24:E24" si="1">$E$4*D20/D21</f>
        <v>20</v>
      </c>
      <c r="E24" s="437">
        <f t="shared" si="1"/>
        <v>20</v>
      </c>
      <c r="F24"/>
      <c r="G24" s="367"/>
      <c r="H24"/>
    </row>
    <row r="25" spans="1:8" s="378" customFormat="1" ht="18" customHeight="1" x14ac:dyDescent="0.3">
      <c r="A25" s="375"/>
      <c r="B25" s="380" t="s">
        <v>113</v>
      </c>
      <c r="C25" s="531">
        <f>ROUND((C24+D24+E24)/(C22+D22+E22),0)</f>
        <v>4</v>
      </c>
      <c r="D25" s="532"/>
      <c r="E25" s="533"/>
      <c r="F25"/>
      <c r="G25" s="376"/>
      <c r="H25" s="377"/>
    </row>
    <row r="26" spans="1:8" ht="12.75" hidden="1" customHeight="1" x14ac:dyDescent="0.25">
      <c r="A26" s="22"/>
      <c r="B26" s="379" t="s">
        <v>76</v>
      </c>
      <c r="C26" s="534">
        <v>0</v>
      </c>
      <c r="D26" s="534"/>
      <c r="E26" s="534"/>
      <c r="F26" s="381"/>
      <c r="G26" s="218"/>
    </row>
    <row r="27" spans="1:8" ht="12.75" customHeight="1" x14ac:dyDescent="0.25">
      <c r="A27" s="22"/>
      <c r="B27" s="217"/>
      <c r="C27" s="157"/>
      <c r="D27" s="161"/>
      <c r="E27" s="161"/>
      <c r="F27" s="161"/>
      <c r="G27" s="161"/>
    </row>
    <row r="28" spans="1:8" ht="18" customHeight="1" x14ac:dyDescent="0.25">
      <c r="A28" s="351"/>
      <c r="B28" s="351"/>
      <c r="C28" s="352" t="s">
        <v>115</v>
      </c>
      <c r="D28" s="353">
        <f>(C13*C10)+(D13*D10)+(E13*E10)+(F13*F10)</f>
        <v>195</v>
      </c>
      <c r="E28" s="354" t="s">
        <v>216</v>
      </c>
      <c r="F28" s="351"/>
      <c r="G28" s="351"/>
      <c r="H28" s="351"/>
    </row>
    <row r="29" spans="1:8" ht="18" customHeight="1" x14ac:dyDescent="0.25">
      <c r="A29" s="351"/>
      <c r="B29" s="351"/>
      <c r="C29" s="352" t="s">
        <v>102</v>
      </c>
      <c r="D29" s="353">
        <f>(C13*C16)+(D13*D16)+(E13*E16)+(F13*F16)</f>
        <v>0</v>
      </c>
      <c r="E29" s="354" t="s">
        <v>3</v>
      </c>
      <c r="F29" s="351"/>
      <c r="G29" s="351"/>
      <c r="H29" s="351"/>
    </row>
    <row r="30" spans="1:8" ht="18" customHeight="1" x14ac:dyDescent="0.3">
      <c r="A30" s="359"/>
      <c r="B30" s="359"/>
      <c r="C30" s="360" t="s">
        <v>98</v>
      </c>
      <c r="D30" s="361">
        <f>C23*C25</f>
        <v>20</v>
      </c>
      <c r="E30" s="362" t="s">
        <v>217</v>
      </c>
      <c r="F30" s="363"/>
      <c r="G30" s="359"/>
      <c r="H30" s="355"/>
    </row>
    <row r="31" spans="1:8" ht="18" customHeight="1" x14ac:dyDescent="0.3">
      <c r="A31" s="359"/>
      <c r="B31" s="359"/>
      <c r="C31" s="360" t="s">
        <v>103</v>
      </c>
      <c r="D31" s="361">
        <f>C25*C26</f>
        <v>0</v>
      </c>
      <c r="E31" s="362" t="s">
        <v>3</v>
      </c>
      <c r="F31" s="363"/>
      <c r="G31" s="359"/>
      <c r="H31" s="355"/>
    </row>
    <row r="32" spans="1:8" ht="18" customHeight="1" x14ac:dyDescent="0.25">
      <c r="A32" s="39"/>
      <c r="B32" s="39"/>
      <c r="C32" s="69" t="s">
        <v>95</v>
      </c>
      <c r="D32" s="70">
        <f>ROUNDUP(D28/25,0)</f>
        <v>8</v>
      </c>
      <c r="E32" s="294" t="s">
        <v>170</v>
      </c>
      <c r="F32" s="40"/>
      <c r="G32" s="39"/>
      <c r="H32" s="35"/>
    </row>
    <row r="33" spans="1:14" ht="12.75" customHeight="1" x14ac:dyDescent="0.25">
      <c r="A33" s="39"/>
      <c r="B33" s="487" t="s">
        <v>8</v>
      </c>
      <c r="C33" s="487"/>
      <c r="D33" s="487"/>
      <c r="E33" s="487"/>
      <c r="F33" s="487"/>
      <c r="G33" s="487"/>
      <c r="H33" s="35"/>
    </row>
    <row r="34" spans="1:14" ht="18" customHeight="1" x14ac:dyDescent="0.25">
      <c r="A34" s="351"/>
      <c r="B34" s="351"/>
      <c r="C34" s="352" t="s">
        <v>96</v>
      </c>
      <c r="D34" s="353">
        <f>SUM(D29+D31)</f>
        <v>0</v>
      </c>
      <c r="E34" s="354" t="s">
        <v>3</v>
      </c>
      <c r="F34" s="351"/>
      <c r="G34" s="351"/>
      <c r="H34" s="351"/>
    </row>
    <row r="35" spans="1:14" ht="12.75" customHeight="1" x14ac:dyDescent="0.25"/>
    <row r="36" spans="1:14" ht="12.75" customHeight="1" x14ac:dyDescent="0.25">
      <c r="K36" s="11"/>
      <c r="L36" s="11"/>
      <c r="M36" s="11"/>
      <c r="N36" s="11"/>
    </row>
    <row r="37" spans="1:14" ht="12.75" customHeight="1" x14ac:dyDescent="0.25">
      <c r="K37" s="11"/>
      <c r="L37" s="11"/>
      <c r="M37" s="11"/>
      <c r="N37" s="11"/>
    </row>
    <row r="38" spans="1:14" ht="18" customHeight="1" x14ac:dyDescent="0.25">
      <c r="H38" s="223" t="s">
        <v>9</v>
      </c>
      <c r="K38" s="11"/>
      <c r="L38" s="11"/>
      <c r="M38" s="11"/>
      <c r="N38" s="11"/>
    </row>
    <row r="39" spans="1:14" s="11" customFormat="1" ht="12.75" customHeight="1" x14ac:dyDescent="0.25">
      <c r="A39" s="13"/>
      <c r="B39" s="13"/>
      <c r="C39" s="13"/>
      <c r="D39" s="13"/>
      <c r="E39" s="13"/>
      <c r="F39" s="13"/>
      <c r="G39" s="13"/>
      <c r="H39" s="13"/>
    </row>
    <row r="40" spans="1:14" s="11" customFormat="1" ht="12.75" customHeight="1" x14ac:dyDescent="0.25">
      <c r="A40" s="13"/>
      <c r="B40" s="13"/>
      <c r="C40" s="13"/>
      <c r="D40" s="13"/>
      <c r="F40" s="13"/>
      <c r="G40" s="13"/>
      <c r="H40" s="224" t="s">
        <v>56</v>
      </c>
    </row>
    <row r="41" spans="1:14" s="11" customFormat="1" ht="12.75" customHeight="1" x14ac:dyDescent="0.25">
      <c r="A41" s="13"/>
      <c r="B41" s="13"/>
      <c r="C41" s="13"/>
      <c r="D41" s="13"/>
      <c r="E41" s="13"/>
      <c r="F41" s="13"/>
      <c r="G41" s="13"/>
      <c r="H41" s="199" t="s">
        <v>55</v>
      </c>
    </row>
    <row r="42" spans="1:14" s="11" customFormat="1" ht="12.75" customHeight="1" x14ac:dyDescent="0.25">
      <c r="A42" s="13"/>
      <c r="B42" s="13"/>
      <c r="C42" s="13"/>
      <c r="D42" s="13"/>
      <c r="E42" s="13"/>
      <c r="F42" s="13"/>
      <c r="G42" s="13"/>
      <c r="H42" s="246"/>
    </row>
    <row r="43" spans="1:14" s="11" customFormat="1" ht="12.75" customHeight="1" x14ac:dyDescent="0.25">
      <c r="A43" s="13"/>
      <c r="B43" s="13"/>
      <c r="C43" s="13"/>
      <c r="D43" s="13"/>
      <c r="E43" s="13"/>
      <c r="F43" s="13"/>
      <c r="G43" s="13"/>
      <c r="H43" s="199" t="s">
        <v>57</v>
      </c>
    </row>
    <row r="44" spans="1:14" s="11" customFormat="1" ht="12.75" customHeight="1" x14ac:dyDescent="0.25">
      <c r="A44" s="13"/>
      <c r="B44" s="13"/>
      <c r="C44" s="13"/>
      <c r="D44" s="13"/>
      <c r="E44" s="13"/>
      <c r="F44" s="13"/>
      <c r="H44" s="199" t="s">
        <v>10</v>
      </c>
    </row>
    <row r="45" spans="1:14" s="11" customFormat="1" ht="12.75" customHeight="1" x14ac:dyDescent="0.25">
      <c r="A45" s="13"/>
      <c r="B45" s="13"/>
      <c r="C45" s="13"/>
      <c r="D45" s="13"/>
      <c r="E45" s="13"/>
      <c r="F45" s="13"/>
      <c r="H45" s="225" t="s">
        <v>7</v>
      </c>
    </row>
    <row r="46" spans="1:14" s="11" customFormat="1" ht="12.75" customHeight="1" x14ac:dyDescent="0.25">
      <c r="A46" s="13"/>
      <c r="B46" s="13"/>
      <c r="C46" s="13"/>
      <c r="D46" s="13"/>
      <c r="E46" s="13"/>
      <c r="F46" s="13"/>
      <c r="H46" s="225"/>
    </row>
    <row r="47" spans="1:14" s="11" customFormat="1" ht="12.75" customHeight="1" x14ac:dyDescent="0.25">
      <c r="A47" s="13"/>
      <c r="B47" s="13"/>
      <c r="C47" s="13"/>
      <c r="D47" s="13"/>
      <c r="E47" s="13"/>
      <c r="F47" s="13"/>
      <c r="H47" s="225"/>
    </row>
    <row r="48" spans="1:14" s="11" customFormat="1" ht="12.75" customHeight="1" x14ac:dyDescent="0.25">
      <c r="A48" s="13"/>
      <c r="B48" s="13"/>
      <c r="C48" s="13"/>
      <c r="D48" s="13"/>
      <c r="E48" s="13"/>
      <c r="F48" s="13"/>
      <c r="H48" s="225"/>
    </row>
    <row r="49" spans="1:8" s="11" customFormat="1" ht="12.75" customHeight="1" x14ac:dyDescent="0.25">
      <c r="A49" s="13"/>
      <c r="B49" s="13"/>
      <c r="C49" s="13"/>
      <c r="D49" s="13"/>
      <c r="E49" s="13"/>
      <c r="F49" s="13"/>
      <c r="H49" s="225"/>
    </row>
    <row r="50" spans="1:8" s="11" customFormat="1" ht="12.75" customHeight="1" x14ac:dyDescent="0.25">
      <c r="A50" s="13"/>
      <c r="B50" s="13"/>
      <c r="C50" s="13"/>
      <c r="D50" s="13"/>
      <c r="E50" s="13"/>
      <c r="F50" s="13"/>
      <c r="H50" s="225"/>
    </row>
    <row r="51" spans="1:8" s="11" customFormat="1" ht="12.75" customHeight="1" x14ac:dyDescent="0.25">
      <c r="A51" s="13"/>
      <c r="B51" s="13"/>
      <c r="C51" s="13"/>
      <c r="D51" s="13"/>
      <c r="E51" s="13"/>
      <c r="F51" s="13"/>
      <c r="H51" s="225"/>
    </row>
    <row r="52" spans="1:8" ht="21" customHeight="1" x14ac:dyDescent="0.3">
      <c r="B52" s="15" t="s">
        <v>16</v>
      </c>
      <c r="C52" s="114"/>
      <c r="D52" s="114"/>
      <c r="E52" s="114"/>
      <c r="F52" s="114"/>
      <c r="G52" s="246"/>
      <c r="H52" s="246"/>
    </row>
    <row r="53" spans="1:8" ht="21" customHeight="1" x14ac:dyDescent="0.25">
      <c r="B53" s="13"/>
      <c r="C53" s="112"/>
      <c r="D53" s="112"/>
      <c r="E53" s="112"/>
      <c r="F53" s="112"/>
      <c r="G53" s="112"/>
      <c r="H53" s="112"/>
    </row>
    <row r="54" spans="1:8" ht="21" customHeight="1" x14ac:dyDescent="0.25">
      <c r="C54" s="114"/>
      <c r="D54" s="114"/>
      <c r="E54" s="114"/>
      <c r="F54" s="114"/>
      <c r="G54" s="114"/>
      <c r="H54" s="114"/>
    </row>
  </sheetData>
  <sheetProtection algorithmName="SHA-512" hashValue="lonuiVBKcZoAIiQGPa2llv/t7xGJBSKfbnbSEfrNpN5GPItpAQNsPid+WRPreD07HzzGgOx1aWAh6a90qr8EsA==" saltValue="OQxbqizgzdZw1zJtz9o/XQ==" spinCount="100000" sheet="1" selectLockedCells="1"/>
  <mergeCells count="8">
    <mergeCell ref="B33:G33"/>
    <mergeCell ref="A1:H1"/>
    <mergeCell ref="C23:E23"/>
    <mergeCell ref="C25:E25"/>
    <mergeCell ref="C26:E26"/>
    <mergeCell ref="C12:E12"/>
    <mergeCell ref="C14:E14"/>
    <mergeCell ref="G11:H16"/>
  </mergeCells>
  <conditionalFormatting sqref="C12:E12 C23:E23">
    <cfRule type="cellIs" dxfId="9" priority="3" operator="greaterThan">
      <formula>5</formula>
    </cfRule>
    <cfRule type="cellIs" dxfId="8" priority="4" operator="lessThan">
      <formula>5</formula>
    </cfRule>
  </conditionalFormatting>
  <dataValidations disablePrompts="1" count="2">
    <dataValidation type="whole" errorStyle="warning" allowBlank="1" showInputMessage="1" showErrorMessage="1" errorTitle="Waste Allowance" error="Based upon our experience waste factors less than 5% may result in a shortage of product delivered to site.  " sqref="F5" xr:uid="{00000000-0002-0000-2000-000000000000}">
      <formula1>0</formula1>
      <formula2>100</formula2>
    </dataValidation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5" xr:uid="{00000000-0002-0000-2000-000001000000}">
      <formula1>0</formula1>
      <formula2>100</formula2>
    </dataValidation>
  </dataValidations>
  <hyperlinks>
    <hyperlink ref="H43" r:id="rId1" xr:uid="{00000000-0004-0000-2000-000000000000}"/>
    <hyperlink ref="H41" r:id="rId2" xr:uid="{00000000-0004-0000-2000-000001000000}"/>
    <hyperlink ref="H44" r:id="rId3" xr:uid="{00000000-0004-0000-20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6">
    <tabColor rgb="FF7030A0"/>
  </sheetPr>
  <dimension ref="A1:N54"/>
  <sheetViews>
    <sheetView showGridLines="0" showRowColHeaders="0" zoomScale="130" zoomScaleNormal="13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9" ht="24" customHeight="1" x14ac:dyDescent="0.25">
      <c r="A1" s="519" t="s">
        <v>226</v>
      </c>
      <c r="B1" s="519"/>
      <c r="C1" s="519"/>
      <c r="D1" s="519"/>
      <c r="E1" s="519"/>
      <c r="F1" s="519"/>
      <c r="G1" s="519"/>
      <c r="H1" s="519"/>
    </row>
    <row r="2" spans="1:9" ht="12.75" customHeight="1" x14ac:dyDescent="0.25">
      <c r="A2" s="22"/>
      <c r="B2" s="22"/>
      <c r="C2" s="22"/>
      <c r="D2" s="22"/>
      <c r="E2" s="22"/>
      <c r="F2" s="22"/>
      <c r="G2" s="22"/>
    </row>
    <row r="3" spans="1:9" ht="18" customHeight="1" x14ac:dyDescent="0.3">
      <c r="A3" s="22"/>
      <c r="B3" s="42"/>
      <c r="C3" s="43"/>
      <c r="D3" s="133" t="s">
        <v>87</v>
      </c>
      <c r="E3" s="136">
        <v>200</v>
      </c>
      <c r="F3" s="158"/>
      <c r="G3" s="2"/>
      <c r="H3" s="3"/>
    </row>
    <row r="4" spans="1:9" ht="18" customHeight="1" x14ac:dyDescent="0.3">
      <c r="A4" s="22"/>
      <c r="B4" s="355"/>
      <c r="C4" s="356"/>
      <c r="D4" s="357" t="s">
        <v>77</v>
      </c>
      <c r="E4" s="358">
        <v>20</v>
      </c>
      <c r="F4" s="158"/>
      <c r="G4" s="2"/>
      <c r="H4" s="3"/>
    </row>
    <row r="5" spans="1:9" ht="18" customHeight="1" x14ac:dyDescent="0.3">
      <c r="A5" s="22"/>
      <c r="B5" s="42"/>
      <c r="C5" s="43"/>
      <c r="D5" s="134" t="s">
        <v>13</v>
      </c>
      <c r="E5" s="137">
        <v>5</v>
      </c>
      <c r="F5" s="159"/>
      <c r="G5" s="160"/>
      <c r="H5" s="160"/>
    </row>
    <row r="6" spans="1:9" ht="18" customHeight="1" x14ac:dyDescent="0.3">
      <c r="A6" s="22"/>
      <c r="B6" s="42"/>
      <c r="C6" s="43"/>
      <c r="D6" s="134" t="s">
        <v>218</v>
      </c>
      <c r="E6" s="346">
        <f>E3-(E4*0.75)+(E3*E5/100)</f>
        <v>195</v>
      </c>
      <c r="F6" s="16"/>
      <c r="G6" s="160"/>
      <c r="H6" s="160"/>
    </row>
    <row r="7" spans="1:9" ht="12.75" customHeight="1" x14ac:dyDescent="0.25">
      <c r="A7" s="22"/>
      <c r="B7" s="25"/>
      <c r="C7" s="25"/>
      <c r="D7" s="25"/>
      <c r="E7" s="22"/>
      <c r="F7" s="22"/>
      <c r="G7" s="160"/>
      <c r="H7" s="160"/>
    </row>
    <row r="8" spans="1:9" ht="18" customHeight="1" thickBot="1" x14ac:dyDescent="0.3">
      <c r="A8" s="22"/>
      <c r="B8" s="364" t="s">
        <v>100</v>
      </c>
      <c r="C8" s="101" t="s">
        <v>46</v>
      </c>
      <c r="D8" s="102" t="s">
        <v>47</v>
      </c>
      <c r="E8" s="102" t="s">
        <v>48</v>
      </c>
      <c r="F8"/>
      <c r="G8" s="239"/>
      <c r="H8" s="229"/>
    </row>
    <row r="9" spans="1:9" ht="18" customHeight="1" thickTop="1" x14ac:dyDescent="0.25">
      <c r="A9" s="22"/>
      <c r="B9" s="103" t="s">
        <v>11</v>
      </c>
      <c r="C9" s="88">
        <v>0.25</v>
      </c>
      <c r="D9" s="89">
        <v>0.5</v>
      </c>
      <c r="E9" s="89">
        <v>0.25</v>
      </c>
      <c r="F9"/>
      <c r="G9" s="74">
        <f>SUM(C9,D9,E9,F9)</f>
        <v>1</v>
      </c>
      <c r="H9" s="229"/>
    </row>
    <row r="10" spans="1:9" ht="12.75" customHeight="1" x14ac:dyDescent="0.25">
      <c r="A10" s="22"/>
      <c r="B10" s="51" t="s">
        <v>67</v>
      </c>
      <c r="C10" s="104">
        <v>0.46</v>
      </c>
      <c r="D10" s="105">
        <v>0.94</v>
      </c>
      <c r="E10" s="105">
        <v>1.42</v>
      </c>
      <c r="F10"/>
      <c r="G10" s="240"/>
      <c r="H10" s="203"/>
    </row>
    <row r="11" spans="1:9" ht="12.75" customHeight="1" thickBot="1" x14ac:dyDescent="0.3">
      <c r="A11" s="22"/>
      <c r="B11" s="394" t="s">
        <v>176</v>
      </c>
      <c r="C11" s="397">
        <f>ROUND(5*C9/C10,0)</f>
        <v>3</v>
      </c>
      <c r="D11" s="398">
        <f>ROUND(5*D9/D10,0)</f>
        <v>3</v>
      </c>
      <c r="E11" s="398">
        <f>ROUND(5*E9/E10,0)</f>
        <v>1</v>
      </c>
      <c r="F11"/>
      <c r="G11" s="490" t="s">
        <v>289</v>
      </c>
      <c r="H11" s="490"/>
      <c r="I11"/>
    </row>
    <row r="12" spans="1:9" ht="12.75" hidden="1" customHeight="1" thickBot="1" x14ac:dyDescent="0.3">
      <c r="A12" s="22"/>
      <c r="B12" s="51" t="s">
        <v>240</v>
      </c>
      <c r="C12" s="544">
        <f>((C11*C10)+(D11*D10)+(E11*E10))</f>
        <v>5.62</v>
      </c>
      <c r="D12" s="545"/>
      <c r="E12" s="546"/>
      <c r="F12"/>
      <c r="G12" s="490"/>
      <c r="H12" s="490"/>
      <c r="I12"/>
    </row>
    <row r="13" spans="1:9" ht="18" customHeight="1" x14ac:dyDescent="0.25">
      <c r="A13" s="22"/>
      <c r="B13" s="140" t="s">
        <v>66</v>
      </c>
      <c r="C13" s="123">
        <f>$E$6*C9/C10</f>
        <v>105.97826086956522</v>
      </c>
      <c r="D13" s="123">
        <f t="shared" ref="D13:E13" si="0">$E$6*D9/D10</f>
        <v>103.72340425531915</v>
      </c>
      <c r="E13" s="123">
        <f t="shared" si="0"/>
        <v>34.33098591549296</v>
      </c>
      <c r="F13"/>
      <c r="G13" s="490"/>
      <c r="H13" s="490"/>
    </row>
    <row r="14" spans="1:9" ht="18" customHeight="1" x14ac:dyDescent="0.25">
      <c r="A14" s="22"/>
      <c r="B14" s="440" t="s">
        <v>113</v>
      </c>
      <c r="C14" s="538">
        <f>ROUND((C13+D13+E13) / (C11+D11+E11),0)</f>
        <v>35</v>
      </c>
      <c r="D14" s="538"/>
      <c r="E14" s="523"/>
      <c r="F14"/>
      <c r="G14" s="490"/>
      <c r="H14" s="490"/>
    </row>
    <row r="15" spans="1:9" ht="12.75" hidden="1" customHeight="1" x14ac:dyDescent="0.25">
      <c r="A15" s="22"/>
      <c r="B15" s="143" t="s">
        <v>71</v>
      </c>
      <c r="C15" s="78">
        <f>C12*C16</f>
        <v>0</v>
      </c>
      <c r="D15" s="78">
        <f>D12*D16</f>
        <v>0</v>
      </c>
      <c r="E15" s="78">
        <f>E12*E16</f>
        <v>0</v>
      </c>
      <c r="F15"/>
      <c r="G15" s="490"/>
      <c r="H15" s="490"/>
    </row>
    <row r="16" spans="1:9" ht="12.75" hidden="1" customHeight="1" x14ac:dyDescent="0.25">
      <c r="A16" s="22"/>
      <c r="B16" s="217" t="s">
        <v>70</v>
      </c>
      <c r="C16" s="236">
        <v>0</v>
      </c>
      <c r="D16" s="236">
        <v>0</v>
      </c>
      <c r="E16" s="236">
        <v>0</v>
      </c>
      <c r="F16"/>
      <c r="G16" s="490"/>
      <c r="H16" s="490"/>
    </row>
    <row r="17" spans="1:8" ht="12.75" hidden="1" customHeight="1" x14ac:dyDescent="0.25">
      <c r="A17" s="22"/>
      <c r="B17" s="219" t="s">
        <v>72</v>
      </c>
      <c r="C17" s="78">
        <f>+C13*C10</f>
        <v>48.75</v>
      </c>
      <c r="D17" s="78">
        <f>+D13*D10</f>
        <v>97.5</v>
      </c>
      <c r="E17" s="78">
        <f>+E13*E10</f>
        <v>48.75</v>
      </c>
      <c r="F17"/>
      <c r="G17" s="240"/>
      <c r="H17" s="203"/>
    </row>
    <row r="18" spans="1:8" ht="12.75" customHeight="1" x14ac:dyDescent="0.25">
      <c r="A18" s="22"/>
      <c r="B18" s="262"/>
      <c r="C18" s="218"/>
      <c r="D18" s="218"/>
      <c r="E18" s="218"/>
      <c r="F18"/>
      <c r="G18" s="240"/>
      <c r="H18" s="203"/>
    </row>
    <row r="19" spans="1:8" ht="18" customHeight="1" thickBot="1" x14ac:dyDescent="0.3">
      <c r="A19" s="22"/>
      <c r="B19" s="371" t="s">
        <v>99</v>
      </c>
      <c r="C19" s="101" t="s">
        <v>46</v>
      </c>
      <c r="D19" s="102" t="s">
        <v>47</v>
      </c>
      <c r="E19" s="102" t="s">
        <v>48</v>
      </c>
      <c r="F19"/>
      <c r="G19" s="367"/>
      <c r="H19"/>
    </row>
    <row r="20" spans="1:8" ht="18" customHeight="1" thickTop="1" x14ac:dyDescent="0.25">
      <c r="A20" s="22"/>
      <c r="B20" s="368" t="s">
        <v>11</v>
      </c>
      <c r="C20" s="365">
        <v>0.25</v>
      </c>
      <c r="D20" s="366">
        <v>0.5</v>
      </c>
      <c r="E20" s="366">
        <v>0.25</v>
      </c>
      <c r="F20"/>
      <c r="G20" s="74">
        <f>SUM(C20,D20,E20,F20)</f>
        <v>1</v>
      </c>
      <c r="H20"/>
    </row>
    <row r="21" spans="1:8" ht="12.75" customHeight="1" x14ac:dyDescent="0.25">
      <c r="A21" s="22"/>
      <c r="B21" s="372" t="s">
        <v>221</v>
      </c>
      <c r="C21" s="373">
        <v>0.24</v>
      </c>
      <c r="D21" s="374">
        <v>0.48</v>
      </c>
      <c r="E21" s="374">
        <v>0.72</v>
      </c>
      <c r="F21"/>
      <c r="G21" s="367"/>
      <c r="H21"/>
    </row>
    <row r="22" spans="1:8" ht="12.75" customHeight="1" thickBot="1" x14ac:dyDescent="0.3">
      <c r="A22" s="22"/>
      <c r="B22" s="448" t="s">
        <v>176</v>
      </c>
      <c r="C22" s="447">
        <f>ROUNDUP(5*C20/C21,0)</f>
        <v>6</v>
      </c>
      <c r="D22" s="384">
        <f>ROUND(5*D20/D21,0)</f>
        <v>5</v>
      </c>
      <c r="E22" s="384">
        <f>ROUND(5*E20/E21,0)</f>
        <v>2</v>
      </c>
      <c r="F22"/>
      <c r="G22" s="367"/>
      <c r="H22"/>
    </row>
    <row r="23" spans="1:8" ht="12.75" hidden="1" customHeight="1" thickBot="1" x14ac:dyDescent="0.3">
      <c r="A23" s="22"/>
      <c r="B23" s="446" t="s">
        <v>240</v>
      </c>
      <c r="C23" s="536">
        <f>((C22*C21)+(D22*D21)+(E22*E21))</f>
        <v>5.2799999999999994</v>
      </c>
      <c r="D23" s="536"/>
      <c r="E23" s="537"/>
      <c r="F23"/>
      <c r="G23" s="367"/>
      <c r="H23"/>
    </row>
    <row r="24" spans="1:8" ht="12.75" customHeight="1" x14ac:dyDescent="0.25">
      <c r="A24" s="22"/>
      <c r="B24" s="140" t="s">
        <v>66</v>
      </c>
      <c r="C24" s="123">
        <f>$E$4*C20/C21</f>
        <v>20.833333333333336</v>
      </c>
      <c r="D24" s="123">
        <f>$E$4*D20/D21</f>
        <v>20.833333333333336</v>
      </c>
      <c r="E24" s="123">
        <f>$E$4*E20/E21</f>
        <v>6.9444444444444446</v>
      </c>
      <c r="F24"/>
      <c r="G24" s="367"/>
      <c r="H24"/>
    </row>
    <row r="25" spans="1:8" s="378" customFormat="1" ht="18" customHeight="1" x14ac:dyDescent="0.3">
      <c r="A25" s="375"/>
      <c r="B25" s="380" t="s">
        <v>113</v>
      </c>
      <c r="C25" s="539">
        <f>ROUND((C24+D24+E24)/(C22+D22+E22),0)</f>
        <v>4</v>
      </c>
      <c r="D25" s="540"/>
      <c r="E25" s="541"/>
      <c r="F25"/>
      <c r="G25" s="376"/>
      <c r="H25" s="377"/>
    </row>
    <row r="26" spans="1:8" ht="12.75" hidden="1" customHeight="1" x14ac:dyDescent="0.25">
      <c r="A26" s="22"/>
      <c r="B26" s="379" t="s">
        <v>76</v>
      </c>
      <c r="C26" s="534">
        <v>0</v>
      </c>
      <c r="D26" s="534"/>
      <c r="E26" s="534"/>
      <c r="F26" s="381"/>
      <c r="G26" s="218"/>
    </row>
    <row r="27" spans="1:8" ht="12.75" customHeight="1" x14ac:dyDescent="0.25">
      <c r="A27" s="22"/>
      <c r="B27" s="217"/>
      <c r="C27" s="157"/>
      <c r="D27" s="161"/>
      <c r="E27" s="161"/>
      <c r="F27" s="161"/>
      <c r="G27" s="161"/>
    </row>
    <row r="28" spans="1:8" ht="18" customHeight="1" x14ac:dyDescent="0.25">
      <c r="A28" s="351"/>
      <c r="B28" s="351"/>
      <c r="C28" s="352" t="s">
        <v>115</v>
      </c>
      <c r="D28" s="353">
        <f>(C13*C10)+(D13*D10)+(E13*E10)+(F13*F10)</f>
        <v>195</v>
      </c>
      <c r="E28" s="354" t="s">
        <v>216</v>
      </c>
      <c r="F28" s="351"/>
      <c r="G28" s="351"/>
      <c r="H28" s="351"/>
    </row>
    <row r="29" spans="1:8" ht="18" customHeight="1" x14ac:dyDescent="0.25">
      <c r="A29" s="351"/>
      <c r="B29" s="351"/>
      <c r="C29" s="352" t="s">
        <v>102</v>
      </c>
      <c r="D29" s="353">
        <f>(C13*C16)+(D13*D16)+(E13*E16)+(F13*F16)</f>
        <v>0</v>
      </c>
      <c r="E29" s="354" t="s">
        <v>3</v>
      </c>
      <c r="F29" s="351"/>
      <c r="G29" s="351"/>
      <c r="H29" s="351"/>
    </row>
    <row r="30" spans="1:8" ht="18" customHeight="1" x14ac:dyDescent="0.3">
      <c r="A30" s="359"/>
      <c r="B30" s="359"/>
      <c r="C30" s="360" t="s">
        <v>98</v>
      </c>
      <c r="D30" s="361">
        <f>C23*C25</f>
        <v>21.119999999999997</v>
      </c>
      <c r="E30" s="362" t="s">
        <v>217</v>
      </c>
      <c r="F30" s="363"/>
      <c r="G30" s="359"/>
      <c r="H30" s="355"/>
    </row>
    <row r="31" spans="1:8" ht="18" customHeight="1" x14ac:dyDescent="0.3">
      <c r="A31" s="359"/>
      <c r="B31" s="359"/>
      <c r="C31" s="360" t="s">
        <v>103</v>
      </c>
      <c r="D31" s="361">
        <f>C25*C26</f>
        <v>0</v>
      </c>
      <c r="E31" s="362" t="s">
        <v>3</v>
      </c>
      <c r="F31" s="363"/>
      <c r="G31" s="359"/>
      <c r="H31" s="355"/>
    </row>
    <row r="32" spans="1:8" ht="18" customHeight="1" x14ac:dyDescent="0.25">
      <c r="A32" s="39"/>
      <c r="B32" s="39"/>
      <c r="C32" s="69" t="s">
        <v>95</v>
      </c>
      <c r="D32" s="70">
        <f>ROUNDUP(D28/25,0)</f>
        <v>8</v>
      </c>
      <c r="E32" s="294" t="s">
        <v>170</v>
      </c>
      <c r="F32" s="40"/>
      <c r="G32" s="39"/>
      <c r="H32" s="35"/>
    </row>
    <row r="33" spans="1:14" ht="12.75" customHeight="1" x14ac:dyDescent="0.25">
      <c r="A33" s="39"/>
      <c r="B33" s="487" t="s">
        <v>8</v>
      </c>
      <c r="C33" s="487"/>
      <c r="D33" s="487"/>
      <c r="E33" s="487"/>
      <c r="F33" s="487"/>
      <c r="G33" s="487"/>
      <c r="H33" s="35"/>
    </row>
    <row r="34" spans="1:14" ht="18" customHeight="1" x14ac:dyDescent="0.25">
      <c r="A34" s="351"/>
      <c r="B34" s="351"/>
      <c r="C34" s="352" t="s">
        <v>96</v>
      </c>
      <c r="D34" s="353">
        <f>SUM(D29+D31)</f>
        <v>0</v>
      </c>
      <c r="E34" s="354" t="s">
        <v>3</v>
      </c>
      <c r="F34" s="351"/>
      <c r="G34" s="351"/>
      <c r="H34" s="351"/>
    </row>
    <row r="35" spans="1:14" ht="12.75" customHeight="1" x14ac:dyDescent="0.25"/>
    <row r="36" spans="1:14" ht="12.75" customHeight="1" x14ac:dyDescent="0.25">
      <c r="K36" s="11"/>
      <c r="L36" s="11"/>
      <c r="M36" s="11"/>
      <c r="N36" s="11"/>
    </row>
    <row r="37" spans="1:14" ht="12.75" customHeight="1" x14ac:dyDescent="0.25">
      <c r="K37" s="11"/>
      <c r="L37" s="11"/>
      <c r="M37" s="11"/>
      <c r="N37" s="11"/>
    </row>
    <row r="38" spans="1:14" ht="18" customHeight="1" x14ac:dyDescent="0.25">
      <c r="H38" s="223" t="s">
        <v>9</v>
      </c>
      <c r="K38" s="11"/>
      <c r="L38" s="11"/>
      <c r="M38" s="11"/>
      <c r="N38" s="11"/>
    </row>
    <row r="39" spans="1:14" s="11" customFormat="1" ht="12.75" customHeight="1" x14ac:dyDescent="0.25">
      <c r="A39" s="13"/>
      <c r="B39" s="13"/>
      <c r="C39" s="13"/>
      <c r="D39" s="13"/>
      <c r="E39" s="13"/>
      <c r="F39" s="13"/>
      <c r="G39" s="13"/>
      <c r="H39" s="13"/>
    </row>
    <row r="40" spans="1:14" s="11" customFormat="1" ht="12.75" customHeight="1" x14ac:dyDescent="0.25">
      <c r="A40" s="13"/>
      <c r="B40" s="13"/>
      <c r="C40" s="13"/>
      <c r="D40" s="13"/>
      <c r="F40" s="13"/>
      <c r="G40" s="13"/>
      <c r="H40" s="224" t="s">
        <v>56</v>
      </c>
    </row>
    <row r="41" spans="1:14" s="11" customFormat="1" ht="12.75" customHeight="1" x14ac:dyDescent="0.25">
      <c r="A41" s="13"/>
      <c r="B41" s="13"/>
      <c r="C41" s="13"/>
      <c r="D41" s="13"/>
      <c r="E41" s="13"/>
      <c r="F41" s="13"/>
      <c r="G41" s="13"/>
      <c r="H41" s="199" t="s">
        <v>55</v>
      </c>
    </row>
    <row r="42" spans="1:14" s="11" customFormat="1" ht="12.75" customHeight="1" x14ac:dyDescent="0.25">
      <c r="A42" s="13"/>
      <c r="B42" s="13"/>
      <c r="C42" s="13"/>
      <c r="D42" s="13"/>
      <c r="E42" s="13"/>
      <c r="F42" s="13"/>
      <c r="G42" s="13"/>
      <c r="H42" s="246"/>
    </row>
    <row r="43" spans="1:14" s="11" customFormat="1" ht="12.75" customHeight="1" x14ac:dyDescent="0.25">
      <c r="A43" s="13"/>
      <c r="B43" s="13"/>
      <c r="C43" s="13"/>
      <c r="D43" s="13"/>
      <c r="E43" s="13"/>
      <c r="F43" s="13"/>
      <c r="G43" s="13"/>
      <c r="H43" s="199" t="s">
        <v>57</v>
      </c>
    </row>
    <row r="44" spans="1:14" s="11" customFormat="1" ht="12.75" customHeight="1" x14ac:dyDescent="0.25">
      <c r="A44" s="13"/>
      <c r="B44" s="13"/>
      <c r="C44" s="13"/>
      <c r="D44" s="13"/>
      <c r="E44" s="13"/>
      <c r="F44" s="13"/>
      <c r="H44" s="199" t="s">
        <v>10</v>
      </c>
    </row>
    <row r="45" spans="1:14" s="11" customFormat="1" ht="12.75" customHeight="1" x14ac:dyDescent="0.25">
      <c r="A45" s="13"/>
      <c r="B45" s="13"/>
      <c r="C45" s="13"/>
      <c r="D45" s="13"/>
      <c r="E45" s="13"/>
      <c r="F45" s="13"/>
      <c r="H45" s="225" t="s">
        <v>7</v>
      </c>
    </row>
    <row r="46" spans="1:14" s="11" customFormat="1" ht="12.75" customHeight="1" x14ac:dyDescent="0.25">
      <c r="A46" s="13"/>
      <c r="B46" s="13"/>
      <c r="C46" s="13"/>
      <c r="D46" s="13"/>
      <c r="E46" s="13"/>
      <c r="F46" s="13"/>
      <c r="H46" s="225"/>
    </row>
    <row r="47" spans="1:14" s="11" customFormat="1" ht="12.75" customHeight="1" x14ac:dyDescent="0.25">
      <c r="A47" s="13"/>
      <c r="B47" s="13"/>
      <c r="C47" s="13"/>
      <c r="D47" s="13"/>
      <c r="E47" s="13"/>
      <c r="F47" s="13"/>
      <c r="H47" s="225"/>
    </row>
    <row r="48" spans="1:14" s="11" customFormat="1" ht="12.75" customHeight="1" x14ac:dyDescent="0.25">
      <c r="A48" s="13"/>
      <c r="B48" s="13"/>
      <c r="C48" s="13"/>
      <c r="D48" s="13"/>
      <c r="E48" s="13"/>
      <c r="F48" s="13"/>
      <c r="H48" s="225"/>
    </row>
    <row r="49" spans="1:8" s="11" customFormat="1" ht="12.75" customHeight="1" x14ac:dyDescent="0.25">
      <c r="A49" s="13"/>
      <c r="B49" s="13"/>
      <c r="C49" s="13"/>
      <c r="D49" s="13"/>
      <c r="E49" s="13"/>
      <c r="F49" s="13"/>
      <c r="H49" s="225"/>
    </row>
    <row r="50" spans="1:8" s="11" customFormat="1" ht="12.75" customHeight="1" x14ac:dyDescent="0.25">
      <c r="A50" s="13"/>
      <c r="B50" s="13"/>
      <c r="C50" s="13"/>
      <c r="D50" s="13"/>
      <c r="E50" s="13"/>
      <c r="F50" s="13"/>
      <c r="H50" s="225"/>
    </row>
    <row r="51" spans="1:8" s="11" customFormat="1" ht="12.75" customHeight="1" x14ac:dyDescent="0.25">
      <c r="A51" s="13"/>
      <c r="B51" s="13"/>
      <c r="C51" s="13"/>
      <c r="D51" s="13"/>
      <c r="E51" s="13"/>
      <c r="F51" s="13"/>
      <c r="H51" s="225"/>
    </row>
    <row r="52" spans="1:8" ht="34.799999999999997" customHeight="1" x14ac:dyDescent="0.3">
      <c r="B52" s="15" t="s">
        <v>16</v>
      </c>
      <c r="C52" s="114"/>
      <c r="D52" s="114"/>
      <c r="E52" s="114"/>
      <c r="F52" s="114"/>
      <c r="G52" s="246"/>
      <c r="H52" s="246"/>
    </row>
    <row r="53" spans="1:8" ht="21" customHeight="1" x14ac:dyDescent="0.25">
      <c r="B53" s="13"/>
      <c r="C53" s="112"/>
      <c r="D53" s="112"/>
      <c r="E53" s="112"/>
      <c r="F53" s="112"/>
      <c r="G53" s="112"/>
      <c r="H53" s="112"/>
    </row>
    <row r="54" spans="1:8" ht="21" customHeight="1" x14ac:dyDescent="0.25">
      <c r="C54" s="114"/>
      <c r="D54" s="114"/>
      <c r="E54" s="114"/>
      <c r="F54" s="114"/>
      <c r="G54" s="114"/>
      <c r="H54" s="114"/>
    </row>
  </sheetData>
  <sheetProtection algorithmName="SHA-512" hashValue="gh86zVaY23AmyHm/Qs0fOPC7ZFfdDJ7l9B5pMACNvF2CEOXU/8H2Ez5Ftlpcg4Sqezu+ZSAPyERF8Xidg+XSmg==" saltValue="icaQ23RBAOY/hqLS3ePdgQ==" spinCount="100000" sheet="1" selectLockedCells="1"/>
  <mergeCells count="8">
    <mergeCell ref="B33:G33"/>
    <mergeCell ref="A1:H1"/>
    <mergeCell ref="C23:E23"/>
    <mergeCell ref="C25:E25"/>
    <mergeCell ref="C26:E26"/>
    <mergeCell ref="C12:E12"/>
    <mergeCell ref="C14:E14"/>
    <mergeCell ref="G11:H16"/>
  </mergeCells>
  <conditionalFormatting sqref="C12:E12">
    <cfRule type="cellIs" dxfId="7" priority="3" operator="lessThan">
      <formula>5</formula>
    </cfRule>
    <cfRule type="cellIs" dxfId="6" priority="4" operator="greaterThan">
      <formula>5</formula>
    </cfRule>
  </conditionalFormatting>
  <conditionalFormatting sqref="C23:E23">
    <cfRule type="cellIs" dxfId="5" priority="1" operator="lessThan">
      <formula>5</formula>
    </cfRule>
    <cfRule type="cellIs" dxfId="4" priority="2" operator="greaterThan">
      <formula>5</formula>
    </cfRule>
  </conditionalFormatting>
  <dataValidations disablePrompts="1" count="2">
    <dataValidation type="whole" errorStyle="warning" allowBlank="1" showInputMessage="1" showErrorMessage="1" errorTitle="Waste Allowance" error="Based upon our experience waste factors less than 5% may result in a shortage of product delivered to site.  " sqref="F5" xr:uid="{00000000-0002-0000-2100-000000000000}">
      <formula1>0</formula1>
      <formula2>100</formula2>
    </dataValidation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5" xr:uid="{00000000-0002-0000-2100-000001000000}">
      <formula1>0</formula1>
      <formula2>100</formula2>
    </dataValidation>
  </dataValidations>
  <hyperlinks>
    <hyperlink ref="H43" r:id="rId1" xr:uid="{00000000-0004-0000-2100-000000000000}"/>
    <hyperlink ref="H41" r:id="rId2" xr:uid="{00000000-0004-0000-2100-000001000000}"/>
    <hyperlink ref="H44" r:id="rId3" xr:uid="{00000000-0004-0000-21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7">
    <tabColor rgb="FF7030A0"/>
  </sheetPr>
  <dimension ref="A1:N54"/>
  <sheetViews>
    <sheetView showGridLines="0" showRowColHeaders="0" zoomScale="130" zoomScaleNormal="13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9" ht="24" customHeight="1" x14ac:dyDescent="0.25">
      <c r="A1" s="519" t="s">
        <v>241</v>
      </c>
      <c r="B1" s="519"/>
      <c r="C1" s="519"/>
      <c r="D1" s="519"/>
      <c r="E1" s="519"/>
      <c r="F1" s="519"/>
      <c r="G1" s="519"/>
      <c r="H1" s="519"/>
    </row>
    <row r="2" spans="1:9" ht="12.75" customHeight="1" x14ac:dyDescent="0.25">
      <c r="A2" s="22"/>
      <c r="B2" s="22"/>
      <c r="C2" s="22"/>
      <c r="D2" s="22"/>
      <c r="E2" s="22"/>
      <c r="F2" s="22"/>
      <c r="G2" s="22"/>
    </row>
    <row r="3" spans="1:9" ht="18" customHeight="1" x14ac:dyDescent="0.3">
      <c r="A3" s="22"/>
      <c r="B3" s="42"/>
      <c r="C3" s="43"/>
      <c r="D3" s="133" t="s">
        <v>87</v>
      </c>
      <c r="E3" s="136">
        <v>200</v>
      </c>
      <c r="F3" s="158"/>
      <c r="G3" s="2"/>
      <c r="H3" s="3"/>
    </row>
    <row r="4" spans="1:9" ht="18" customHeight="1" x14ac:dyDescent="0.3">
      <c r="A4" s="22"/>
      <c r="B4" s="355"/>
      <c r="C4" s="356"/>
      <c r="D4" s="357" t="s">
        <v>286</v>
      </c>
      <c r="E4" s="358">
        <v>20</v>
      </c>
      <c r="F4" s="158"/>
      <c r="G4" s="2"/>
      <c r="H4" s="3"/>
    </row>
    <row r="5" spans="1:9" ht="18" customHeight="1" x14ac:dyDescent="0.3">
      <c r="A5" s="22"/>
      <c r="B5" s="42"/>
      <c r="C5" s="43"/>
      <c r="D5" s="134" t="s">
        <v>13</v>
      </c>
      <c r="E5" s="137">
        <v>5</v>
      </c>
      <c r="F5" s="159"/>
      <c r="G5" s="160"/>
      <c r="H5" s="160"/>
    </row>
    <row r="6" spans="1:9" ht="18" customHeight="1" x14ac:dyDescent="0.3">
      <c r="A6" s="22"/>
      <c r="B6" s="42"/>
      <c r="C6" s="43"/>
      <c r="D6" s="134" t="s">
        <v>218</v>
      </c>
      <c r="E6" s="346">
        <f>E3-(E4*0.75)+(E3*E5/100)</f>
        <v>195</v>
      </c>
      <c r="F6" s="16"/>
      <c r="G6" s="160"/>
      <c r="H6" s="160"/>
    </row>
    <row r="7" spans="1:9" ht="12.75" customHeight="1" x14ac:dyDescent="0.25">
      <c r="A7" s="22"/>
      <c r="B7" s="25"/>
      <c r="C7" s="25"/>
      <c r="D7" s="25"/>
      <c r="E7" s="22"/>
      <c r="F7" s="22"/>
      <c r="G7" s="160"/>
      <c r="H7" s="160"/>
    </row>
    <row r="8" spans="1:9" ht="18" customHeight="1" thickBot="1" x14ac:dyDescent="0.3">
      <c r="A8" s="22"/>
      <c r="B8" s="364" t="s">
        <v>100</v>
      </c>
      <c r="C8" s="101" t="s">
        <v>43</v>
      </c>
      <c r="D8" s="102" t="s">
        <v>44</v>
      </c>
      <c r="E8"/>
      <c r="F8"/>
      <c r="G8" s="239"/>
      <c r="H8" s="229"/>
    </row>
    <row r="9" spans="1:9" ht="18" customHeight="1" thickTop="1" x14ac:dyDescent="0.25">
      <c r="A9" s="22"/>
      <c r="B9" s="103" t="s">
        <v>11</v>
      </c>
      <c r="C9" s="88">
        <v>0.75</v>
      </c>
      <c r="D9" s="89">
        <v>0.25</v>
      </c>
      <c r="E9" s="74">
        <f>SUM(C9,D9)</f>
        <v>1</v>
      </c>
      <c r="F9"/>
      <c r="G9" s="74"/>
      <c r="H9" s="229"/>
    </row>
    <row r="10" spans="1:9" ht="12.75" customHeight="1" x14ac:dyDescent="0.25">
      <c r="A10" s="22"/>
      <c r="B10" s="51" t="s">
        <v>67</v>
      </c>
      <c r="C10" s="104">
        <v>0.89</v>
      </c>
      <c r="D10" s="105">
        <v>1.77</v>
      </c>
      <c r="E10"/>
      <c r="F10"/>
      <c r="G10" s="240"/>
      <c r="H10" s="203"/>
    </row>
    <row r="11" spans="1:9" ht="12.75" customHeight="1" thickBot="1" x14ac:dyDescent="0.3">
      <c r="A11" s="22"/>
      <c r="B11" s="394" t="s">
        <v>176</v>
      </c>
      <c r="C11" s="433">
        <f>ROUND(5*C9/C10,0)</f>
        <v>4</v>
      </c>
      <c r="D11" s="398">
        <f>ROUND(5*D9/D10,0)</f>
        <v>1</v>
      </c>
      <c r="E11"/>
      <c r="F11"/>
      <c r="G11" s="490" t="s">
        <v>289</v>
      </c>
      <c r="H11" s="490"/>
      <c r="I11"/>
    </row>
    <row r="12" spans="1:9" ht="12.75" hidden="1" customHeight="1" thickBot="1" x14ac:dyDescent="0.3">
      <c r="A12" s="22"/>
      <c r="B12" s="51" t="s">
        <v>240</v>
      </c>
      <c r="C12" s="544">
        <f>((C11*C10)+(D11*D10))</f>
        <v>5.33</v>
      </c>
      <c r="D12" s="546"/>
      <c r="E12"/>
      <c r="F12"/>
      <c r="G12" s="490"/>
      <c r="H12" s="490"/>
      <c r="I12"/>
    </row>
    <row r="13" spans="1:9" ht="18" customHeight="1" thickBot="1" x14ac:dyDescent="0.3">
      <c r="A13" s="22"/>
      <c r="B13" s="140" t="s">
        <v>66</v>
      </c>
      <c r="C13" s="123">
        <f>E6*C9/C10</f>
        <v>164.32584269662922</v>
      </c>
      <c r="D13" s="123">
        <f>E6*D9/D10</f>
        <v>27.542372881355931</v>
      </c>
      <c r="E13"/>
      <c r="F13"/>
      <c r="G13" s="490"/>
      <c r="H13" s="490"/>
    </row>
    <row r="14" spans="1:9" ht="18" customHeight="1" x14ac:dyDescent="0.25">
      <c r="A14" s="22"/>
      <c r="B14" s="140" t="s">
        <v>113</v>
      </c>
      <c r="C14" s="547">
        <f>ROUND((C13+D13)/(C11+D11),0)</f>
        <v>38</v>
      </c>
      <c r="D14" s="548"/>
      <c r="E14"/>
      <c r="F14"/>
      <c r="G14" s="490"/>
      <c r="H14" s="490"/>
    </row>
    <row r="15" spans="1:9" ht="12.75" hidden="1" customHeight="1" x14ac:dyDescent="0.25">
      <c r="A15" s="22"/>
      <c r="B15" s="143" t="s">
        <v>71</v>
      </c>
      <c r="C15" s="78">
        <f>C12*C16</f>
        <v>0</v>
      </c>
      <c r="D15" s="78">
        <f>D12*D16</f>
        <v>0</v>
      </c>
      <c r="E15"/>
      <c r="F15"/>
      <c r="G15" s="490"/>
      <c r="H15" s="490"/>
    </row>
    <row r="16" spans="1:9" ht="12.75" hidden="1" customHeight="1" x14ac:dyDescent="0.25">
      <c r="A16" s="22"/>
      <c r="B16" s="217" t="s">
        <v>70</v>
      </c>
      <c r="C16" s="236">
        <v>0</v>
      </c>
      <c r="D16" s="236">
        <v>0</v>
      </c>
      <c r="E16"/>
      <c r="F16"/>
      <c r="G16" s="490"/>
      <c r="H16" s="490"/>
    </row>
    <row r="17" spans="1:8" ht="12.75" hidden="1" customHeight="1" x14ac:dyDescent="0.25">
      <c r="A17" s="22"/>
      <c r="B17" s="219" t="s">
        <v>72</v>
      </c>
      <c r="C17" s="78">
        <f>+C13*C10</f>
        <v>146.25</v>
      </c>
      <c r="D17" s="78">
        <f>+D13*D10</f>
        <v>48.75</v>
      </c>
      <c r="E17"/>
      <c r="F17"/>
      <c r="G17" s="240"/>
      <c r="H17" s="203"/>
    </row>
    <row r="18" spans="1:8" ht="12.75" customHeight="1" x14ac:dyDescent="0.25">
      <c r="A18" s="22"/>
      <c r="B18" s="262"/>
      <c r="C18" s="218"/>
      <c r="D18" s="218"/>
      <c r="E18"/>
      <c r="F18"/>
      <c r="G18" s="240"/>
      <c r="H18" s="203"/>
    </row>
    <row r="19" spans="1:8" ht="18" customHeight="1" thickBot="1" x14ac:dyDescent="0.3">
      <c r="A19" s="22"/>
      <c r="B19" s="371" t="s">
        <v>99</v>
      </c>
      <c r="C19" s="101" t="s">
        <v>43</v>
      </c>
      <c r="D19" s="102" t="s">
        <v>44</v>
      </c>
      <c r="E19"/>
      <c r="F19"/>
      <c r="G19" s="367"/>
      <c r="H19"/>
    </row>
    <row r="20" spans="1:8" ht="18" customHeight="1" thickTop="1" x14ac:dyDescent="0.25">
      <c r="A20" s="22"/>
      <c r="B20" s="368" t="s">
        <v>11</v>
      </c>
      <c r="C20" s="365">
        <v>0.75</v>
      </c>
      <c r="D20" s="366">
        <v>0.25</v>
      </c>
      <c r="E20" s="74">
        <f>SUM(C20,D20)</f>
        <v>1</v>
      </c>
      <c r="F20"/>
      <c r="G20" s="74"/>
      <c r="H20"/>
    </row>
    <row r="21" spans="1:8" ht="12.75" customHeight="1" x14ac:dyDescent="0.25">
      <c r="A21" s="22"/>
      <c r="B21" s="372" t="s">
        <v>287</v>
      </c>
      <c r="C21" s="373">
        <v>0.44</v>
      </c>
      <c r="D21" s="374">
        <v>0.9</v>
      </c>
      <c r="E21"/>
      <c r="F21"/>
      <c r="G21" s="367"/>
      <c r="H21"/>
    </row>
    <row r="22" spans="1:8" ht="12.75" customHeight="1" thickBot="1" x14ac:dyDescent="0.3">
      <c r="A22" s="22"/>
      <c r="B22" s="372" t="s">
        <v>176</v>
      </c>
      <c r="C22" s="383">
        <f>ROUND(5*C20/C21,0)</f>
        <v>9</v>
      </c>
      <c r="D22" s="450">
        <f>ROUNDUP(5*D20/D21,0)</f>
        <v>2</v>
      </c>
      <c r="E22"/>
      <c r="F22"/>
      <c r="G22" s="367"/>
      <c r="H22"/>
    </row>
    <row r="23" spans="1:8" ht="12.75" hidden="1" customHeight="1" thickBot="1" x14ac:dyDescent="0.3">
      <c r="A23" s="22"/>
      <c r="B23" s="51" t="s">
        <v>240</v>
      </c>
      <c r="C23" s="535">
        <f>((C22*C21)+(D22*D21))</f>
        <v>5.76</v>
      </c>
      <c r="D23" s="537"/>
      <c r="E23"/>
      <c r="F23"/>
      <c r="G23" s="367"/>
      <c r="H23"/>
    </row>
    <row r="24" spans="1:8" ht="12.75" customHeight="1" x14ac:dyDescent="0.25">
      <c r="A24" s="22"/>
      <c r="B24" s="140" t="s">
        <v>66</v>
      </c>
      <c r="C24" s="123">
        <f>E4*C20/C21</f>
        <v>34.090909090909093</v>
      </c>
      <c r="D24" s="123">
        <f>E4*D20/D21</f>
        <v>5.5555555555555554</v>
      </c>
      <c r="E24"/>
      <c r="F24"/>
      <c r="G24" s="367"/>
      <c r="H24"/>
    </row>
    <row r="25" spans="1:8" s="378" customFormat="1" ht="18" customHeight="1" x14ac:dyDescent="0.3">
      <c r="A25" s="375"/>
      <c r="B25" s="380" t="s">
        <v>113</v>
      </c>
      <c r="C25" s="539">
        <f>ROUND((C24+D24)/(C22+D22),0)</f>
        <v>4</v>
      </c>
      <c r="D25" s="541"/>
      <c r="E25" s="385"/>
      <c r="F25"/>
      <c r="G25" s="376"/>
      <c r="H25" s="377"/>
    </row>
    <row r="26" spans="1:8" ht="12.75" hidden="1" customHeight="1" x14ac:dyDescent="0.25">
      <c r="A26" s="22"/>
      <c r="B26" s="379" t="s">
        <v>76</v>
      </c>
      <c r="C26" s="534">
        <v>0</v>
      </c>
      <c r="D26" s="534"/>
      <c r="E26" s="382"/>
      <c r="F26" s="382"/>
      <c r="G26" s="218"/>
    </row>
    <row r="27" spans="1:8" ht="12.75" customHeight="1" x14ac:dyDescent="0.25">
      <c r="A27" s="22"/>
      <c r="B27" s="217"/>
      <c r="C27" s="157"/>
      <c r="D27" s="161"/>
      <c r="E27" s="161"/>
      <c r="F27" s="161"/>
      <c r="G27" s="161"/>
    </row>
    <row r="28" spans="1:8" ht="18" customHeight="1" x14ac:dyDescent="0.25">
      <c r="A28" s="351"/>
      <c r="B28" s="351"/>
      <c r="C28" s="352" t="s">
        <v>115</v>
      </c>
      <c r="D28" s="353">
        <f>(C13*C10)+(D13*D10)+(E13*E10)+(F13*F10)</f>
        <v>195</v>
      </c>
      <c r="E28" s="354" t="s">
        <v>216</v>
      </c>
      <c r="F28" s="351"/>
      <c r="G28" s="351"/>
      <c r="H28" s="351"/>
    </row>
    <row r="29" spans="1:8" ht="18" customHeight="1" x14ac:dyDescent="0.25">
      <c r="A29" s="351"/>
      <c r="B29" s="351"/>
      <c r="C29" s="352" t="s">
        <v>102</v>
      </c>
      <c r="D29" s="353">
        <f>(C13*C16)+(D13*D16)+(E13*E16)+(F13*F16)</f>
        <v>0</v>
      </c>
      <c r="E29" s="354" t="s">
        <v>3</v>
      </c>
      <c r="F29" s="351"/>
      <c r="G29" s="351"/>
      <c r="H29" s="351"/>
    </row>
    <row r="30" spans="1:8" ht="18" customHeight="1" x14ac:dyDescent="0.3">
      <c r="A30" s="359"/>
      <c r="B30" s="359"/>
      <c r="C30" s="360" t="s">
        <v>98</v>
      </c>
      <c r="D30" s="361">
        <f>C23*C25</f>
        <v>23.04</v>
      </c>
      <c r="E30" s="362" t="s">
        <v>217</v>
      </c>
      <c r="F30" s="363"/>
      <c r="G30" s="359"/>
      <c r="H30" s="355"/>
    </row>
    <row r="31" spans="1:8" ht="18" customHeight="1" x14ac:dyDescent="0.3">
      <c r="A31" s="359"/>
      <c r="B31" s="359"/>
      <c r="C31" s="360" t="s">
        <v>103</v>
      </c>
      <c r="D31" s="361">
        <f>C25*C26</f>
        <v>0</v>
      </c>
      <c r="E31" s="362" t="s">
        <v>3</v>
      </c>
      <c r="F31" s="363"/>
      <c r="G31" s="359"/>
      <c r="H31" s="355"/>
    </row>
    <row r="32" spans="1:8" ht="18" customHeight="1" x14ac:dyDescent="0.25">
      <c r="A32" s="39"/>
      <c r="B32" s="39"/>
      <c r="C32" s="69" t="s">
        <v>95</v>
      </c>
      <c r="D32" s="70">
        <f>ROUNDUP(D28/25,0)</f>
        <v>8</v>
      </c>
      <c r="E32" s="294" t="s">
        <v>170</v>
      </c>
      <c r="F32" s="40"/>
      <c r="G32" s="39"/>
      <c r="H32" s="35"/>
    </row>
    <row r="33" spans="1:14" ht="12.75" customHeight="1" x14ac:dyDescent="0.25">
      <c r="A33" s="39"/>
      <c r="B33" s="487" t="s">
        <v>8</v>
      </c>
      <c r="C33" s="487"/>
      <c r="D33" s="487"/>
      <c r="E33" s="487"/>
      <c r="F33" s="487"/>
      <c r="G33" s="487"/>
      <c r="H33" s="35"/>
    </row>
    <row r="34" spans="1:14" ht="18" customHeight="1" x14ac:dyDescent="0.25">
      <c r="A34" s="351"/>
      <c r="B34" s="351"/>
      <c r="C34" s="352" t="s">
        <v>96</v>
      </c>
      <c r="D34" s="353">
        <f>SUM(D29+D31)</f>
        <v>0</v>
      </c>
      <c r="E34" s="354" t="s">
        <v>3</v>
      </c>
      <c r="F34" s="351"/>
      <c r="G34" s="351"/>
      <c r="H34" s="351"/>
    </row>
    <row r="35" spans="1:14" ht="12.75" customHeight="1" x14ac:dyDescent="0.25"/>
    <row r="36" spans="1:14" ht="12.75" customHeight="1" x14ac:dyDescent="0.25">
      <c r="K36" s="11"/>
      <c r="L36" s="11"/>
      <c r="M36" s="11"/>
      <c r="N36" s="11"/>
    </row>
    <row r="37" spans="1:14" ht="12.75" customHeight="1" x14ac:dyDescent="0.25">
      <c r="K37" s="11"/>
      <c r="L37" s="11"/>
      <c r="M37" s="11"/>
      <c r="N37" s="11"/>
    </row>
    <row r="38" spans="1:14" ht="18" customHeight="1" x14ac:dyDescent="0.25">
      <c r="H38" s="223" t="s">
        <v>9</v>
      </c>
      <c r="K38" s="11"/>
      <c r="L38" s="11"/>
      <c r="M38" s="11"/>
      <c r="N38" s="11"/>
    </row>
    <row r="39" spans="1:14" s="11" customFormat="1" ht="12.75" customHeight="1" x14ac:dyDescent="0.25">
      <c r="A39" s="13"/>
      <c r="B39" s="13"/>
      <c r="C39" s="13"/>
      <c r="D39" s="13"/>
      <c r="E39" s="13"/>
      <c r="F39" s="13"/>
      <c r="G39" s="13"/>
      <c r="H39" s="13"/>
    </row>
    <row r="40" spans="1:14" s="11" customFormat="1" ht="12.75" customHeight="1" x14ac:dyDescent="0.25">
      <c r="A40" s="13"/>
      <c r="B40" s="13"/>
      <c r="C40" s="13"/>
      <c r="D40" s="13"/>
      <c r="F40" s="13"/>
      <c r="G40" s="13"/>
      <c r="H40" s="224" t="s">
        <v>56</v>
      </c>
    </row>
    <row r="41" spans="1:14" s="11" customFormat="1" ht="12.75" customHeight="1" x14ac:dyDescent="0.25">
      <c r="A41" s="13"/>
      <c r="B41" s="13"/>
      <c r="C41" s="13"/>
      <c r="D41" s="13"/>
      <c r="E41" s="13"/>
      <c r="F41" s="13"/>
      <c r="G41" s="13"/>
      <c r="H41" s="199" t="s">
        <v>55</v>
      </c>
    </row>
    <row r="42" spans="1:14" s="11" customFormat="1" ht="12.75" customHeight="1" x14ac:dyDescent="0.25">
      <c r="A42" s="13"/>
      <c r="B42" s="13"/>
      <c r="C42" s="13"/>
      <c r="D42" s="13"/>
      <c r="E42" s="13"/>
      <c r="F42" s="13"/>
      <c r="G42" s="13"/>
      <c r="H42" s="246"/>
    </row>
    <row r="43" spans="1:14" s="11" customFormat="1" ht="12.75" customHeight="1" x14ac:dyDescent="0.25">
      <c r="A43" s="13"/>
      <c r="B43" s="13"/>
      <c r="C43" s="13"/>
      <c r="D43" s="13"/>
      <c r="E43" s="13"/>
      <c r="F43" s="13"/>
      <c r="G43" s="13"/>
      <c r="H43" s="199" t="s">
        <v>57</v>
      </c>
    </row>
    <row r="44" spans="1:14" s="11" customFormat="1" ht="12.75" customHeight="1" x14ac:dyDescent="0.25">
      <c r="A44" s="13"/>
      <c r="B44" s="13"/>
      <c r="C44" s="13"/>
      <c r="D44" s="13"/>
      <c r="E44" s="13"/>
      <c r="F44" s="13"/>
      <c r="H44" s="199" t="s">
        <v>10</v>
      </c>
    </row>
    <row r="45" spans="1:14" s="11" customFormat="1" ht="12.75" customHeight="1" x14ac:dyDescent="0.25">
      <c r="A45" s="13"/>
      <c r="B45" s="13"/>
      <c r="C45" s="13"/>
      <c r="D45" s="13"/>
      <c r="E45" s="13"/>
      <c r="F45" s="13"/>
      <c r="H45" s="225" t="s">
        <v>7</v>
      </c>
    </row>
    <row r="46" spans="1:14" s="11" customFormat="1" ht="12.75" customHeight="1" x14ac:dyDescent="0.25">
      <c r="A46" s="13"/>
      <c r="B46" s="13"/>
      <c r="C46" s="13"/>
      <c r="D46" s="13"/>
      <c r="E46" s="13"/>
      <c r="F46" s="13"/>
      <c r="H46" s="225"/>
    </row>
    <row r="47" spans="1:14" s="11" customFormat="1" ht="12.75" customHeight="1" x14ac:dyDescent="0.25">
      <c r="A47" s="13"/>
      <c r="B47" s="13"/>
      <c r="C47" s="13"/>
      <c r="D47" s="13"/>
      <c r="E47" s="13"/>
      <c r="F47" s="13"/>
      <c r="H47" s="225"/>
    </row>
    <row r="48" spans="1:14" s="11" customFormat="1" ht="12.75" customHeight="1" x14ac:dyDescent="0.25">
      <c r="A48" s="13"/>
      <c r="B48" s="13"/>
      <c r="C48" s="13"/>
      <c r="D48" s="13"/>
      <c r="E48" s="13"/>
      <c r="F48" s="13"/>
      <c r="H48" s="225"/>
    </row>
    <row r="49" spans="1:8" s="11" customFormat="1" ht="12.75" customHeight="1" x14ac:dyDescent="0.25">
      <c r="A49" s="13"/>
      <c r="B49" s="13"/>
      <c r="C49" s="13"/>
      <c r="D49" s="13"/>
      <c r="E49" s="13"/>
      <c r="F49" s="13"/>
      <c r="H49" s="225"/>
    </row>
    <row r="50" spans="1:8" s="11" customFormat="1" ht="12.75" customHeight="1" x14ac:dyDescent="0.25">
      <c r="A50" s="13"/>
      <c r="B50" s="13"/>
      <c r="C50" s="13"/>
      <c r="D50" s="13"/>
      <c r="E50" s="13"/>
      <c r="F50" s="13"/>
      <c r="H50" s="225"/>
    </row>
    <row r="51" spans="1:8" s="11" customFormat="1" ht="12.75" customHeight="1" x14ac:dyDescent="0.25">
      <c r="A51" s="13"/>
      <c r="B51" s="13"/>
      <c r="C51" s="13"/>
      <c r="D51" s="13"/>
      <c r="E51" s="13"/>
      <c r="F51" s="13"/>
      <c r="H51" s="225"/>
    </row>
    <row r="52" spans="1:8" ht="21" customHeight="1" x14ac:dyDescent="0.3">
      <c r="B52" s="15" t="s">
        <v>16</v>
      </c>
      <c r="C52" s="114"/>
      <c r="D52" s="114"/>
      <c r="E52" s="114"/>
      <c r="F52" s="114"/>
      <c r="G52" s="246"/>
      <c r="H52" s="246"/>
    </row>
    <row r="53" spans="1:8" ht="21" customHeight="1" x14ac:dyDescent="0.25">
      <c r="B53" s="13"/>
      <c r="C53" s="112"/>
      <c r="D53" s="112"/>
      <c r="E53" s="112"/>
      <c r="F53" s="112"/>
      <c r="G53" s="112"/>
      <c r="H53" s="112"/>
    </row>
    <row r="54" spans="1:8" ht="21" customHeight="1" x14ac:dyDescent="0.25">
      <c r="C54" s="114"/>
      <c r="D54" s="114"/>
      <c r="E54" s="114"/>
      <c r="F54" s="114"/>
      <c r="G54" s="114"/>
      <c r="H54" s="114"/>
    </row>
  </sheetData>
  <sheetProtection algorithmName="SHA-512" hashValue="+XLHFQ/Mvae2NlbaV8pIO8E9jo/eCeswYDJQHuCR0Go4FFQKg6ltAVNT4ptkcgNfAZJI6id2FWOdRVatCm/JLg==" saltValue="HJxGvA5ZTC+S9RHEDbtdCA==" spinCount="100000" sheet="1" selectLockedCells="1"/>
  <mergeCells count="8">
    <mergeCell ref="A1:H1"/>
    <mergeCell ref="B33:G33"/>
    <mergeCell ref="C23:D23"/>
    <mergeCell ref="C25:D25"/>
    <mergeCell ref="C26:D26"/>
    <mergeCell ref="C12:D12"/>
    <mergeCell ref="C14:D14"/>
    <mergeCell ref="G11:H16"/>
  </mergeCells>
  <conditionalFormatting sqref="C12:D12">
    <cfRule type="cellIs" dxfId="3" priority="3" operator="lessThan">
      <formula>5</formula>
    </cfRule>
    <cfRule type="cellIs" dxfId="2" priority="4" operator="greaterThan">
      <formula>5</formula>
    </cfRule>
  </conditionalFormatting>
  <conditionalFormatting sqref="C23:D23">
    <cfRule type="cellIs" dxfId="1" priority="1" operator="lessThan">
      <formula>5</formula>
    </cfRule>
    <cfRule type="cellIs" dxfId="0" priority="2" operator="greaterThan">
      <formula>5</formula>
    </cfRule>
  </conditionalFormatting>
  <dataValidations disablePrompts="1" count="2"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5" xr:uid="{00000000-0002-0000-2200-000000000000}">
      <formula1>0</formula1>
      <formula2>100</formula2>
    </dataValidation>
    <dataValidation type="whole" errorStyle="warning" allowBlank="1" showInputMessage="1" showErrorMessage="1" errorTitle="Waste Allowance" error="Based upon our experience waste factors less than 5% may result in a shortage of product delivered to site.  " sqref="F5" xr:uid="{00000000-0002-0000-2200-000001000000}">
      <formula1>0</formula1>
      <formula2>100</formula2>
    </dataValidation>
  </dataValidations>
  <hyperlinks>
    <hyperlink ref="H43" r:id="rId1" xr:uid="{00000000-0004-0000-2200-000000000000}"/>
    <hyperlink ref="H41" r:id="rId2" xr:uid="{00000000-0004-0000-2200-000001000000}"/>
    <hyperlink ref="H44" r:id="rId3" xr:uid="{00000000-0004-0000-22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8">
    <tabColor theme="3"/>
  </sheetPr>
  <dimension ref="A1:R48"/>
  <sheetViews>
    <sheetView showGridLines="0" showRowColHeaders="0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49" t="s">
        <v>304</v>
      </c>
      <c r="B1" s="549"/>
      <c r="C1" s="549"/>
      <c r="D1" s="549"/>
      <c r="E1" s="549"/>
      <c r="F1" s="549"/>
      <c r="G1" s="549"/>
      <c r="H1" s="549"/>
    </row>
    <row r="2" spans="1:8" ht="12.75" customHeight="1" x14ac:dyDescent="0.25"/>
    <row r="3" spans="1:8" ht="18" customHeight="1" x14ac:dyDescent="0.3">
      <c r="B3" s="41"/>
      <c r="C3" s="36"/>
      <c r="D3" s="94" t="s">
        <v>87</v>
      </c>
      <c r="E3" s="96">
        <v>200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86</v>
      </c>
      <c r="E5" s="344">
        <f>E3+E3*E4/100</f>
        <v>200</v>
      </c>
      <c r="F5" s="3"/>
      <c r="G5" s="3"/>
      <c r="H5" s="3"/>
    </row>
    <row r="6" spans="1:8" ht="12.75" customHeight="1" x14ac:dyDescent="0.25">
      <c r="B6" s="12"/>
      <c r="C6" s="200"/>
      <c r="D6" s="200"/>
      <c r="E6" s="200"/>
    </row>
    <row r="7" spans="1:8" ht="18" customHeight="1" thickBot="1" x14ac:dyDescent="0.35">
      <c r="B7" s="201" t="s">
        <v>0</v>
      </c>
      <c r="C7" s="202" t="s">
        <v>263</v>
      </c>
      <c r="D7" s="227" t="s">
        <v>245</v>
      </c>
      <c r="E7" s="228" t="s">
        <v>246</v>
      </c>
      <c r="F7" s="229"/>
      <c r="G7" s="1"/>
      <c r="H7" s="1"/>
    </row>
    <row r="8" spans="1:8" ht="18" customHeight="1" thickTop="1" x14ac:dyDescent="0.3">
      <c r="B8" s="204" t="s">
        <v>11</v>
      </c>
      <c r="C8" s="153">
        <v>0.2</v>
      </c>
      <c r="D8" s="154">
        <v>0.5</v>
      </c>
      <c r="E8" s="153">
        <v>0.3</v>
      </c>
      <c r="F8" s="74">
        <f>SUM(B8,C8,D8,E8)</f>
        <v>1</v>
      </c>
      <c r="G8" s="1"/>
      <c r="H8" s="1"/>
    </row>
    <row r="9" spans="1:8" ht="18.75" hidden="1" customHeight="1" x14ac:dyDescent="0.25">
      <c r="B9" s="205" t="s">
        <v>67</v>
      </c>
      <c r="C9" s="206">
        <v>0.45</v>
      </c>
      <c r="D9" s="230">
        <v>0.9</v>
      </c>
      <c r="E9" s="206">
        <v>1.33</v>
      </c>
      <c r="F9" s="203"/>
    </row>
    <row r="10" spans="1:8" ht="12.75" customHeight="1" x14ac:dyDescent="0.25">
      <c r="B10" s="207" t="s">
        <v>1</v>
      </c>
      <c r="C10" s="208">
        <f>+(E5*C8)/C9</f>
        <v>88.888888888888886</v>
      </c>
      <c r="D10" s="231">
        <f>+(E5*D8)/D9</f>
        <v>111.11111111111111</v>
      </c>
      <c r="E10" s="208">
        <f>+(E5*E8)/E9</f>
        <v>45.112781954887218</v>
      </c>
      <c r="F10" s="203"/>
      <c r="G10" s="490" t="s">
        <v>204</v>
      </c>
      <c r="H10" s="490"/>
    </row>
    <row r="11" spans="1:8" ht="12.75" customHeight="1" x14ac:dyDescent="0.25">
      <c r="B11" s="209" t="s">
        <v>68</v>
      </c>
      <c r="C11" s="206">
        <v>180</v>
      </c>
      <c r="D11" s="230">
        <v>84</v>
      </c>
      <c r="E11" s="206">
        <v>55</v>
      </c>
      <c r="F11" s="232"/>
      <c r="G11" s="490"/>
      <c r="H11" s="490"/>
    </row>
    <row r="12" spans="1:8" ht="12.75" customHeight="1" thickBot="1" x14ac:dyDescent="0.3">
      <c r="B12" s="115" t="s">
        <v>84</v>
      </c>
      <c r="C12" s="138">
        <v>12</v>
      </c>
      <c r="D12" s="138">
        <v>12</v>
      </c>
      <c r="E12" s="105">
        <v>11</v>
      </c>
      <c r="F12" s="232"/>
      <c r="G12" s="490"/>
      <c r="H12" s="490"/>
    </row>
    <row r="13" spans="1:8" ht="18.75" hidden="1" customHeight="1" x14ac:dyDescent="0.25">
      <c r="B13" s="116" t="s">
        <v>64</v>
      </c>
      <c r="C13" s="138">
        <v>12</v>
      </c>
      <c r="D13" s="138">
        <v>12</v>
      </c>
      <c r="E13" s="105">
        <v>11</v>
      </c>
      <c r="F13" s="232"/>
      <c r="G13" s="490"/>
      <c r="H13" s="490"/>
    </row>
    <row r="14" spans="1:8" ht="18.600000000000001" hidden="1" customHeight="1" thickBot="1" x14ac:dyDescent="0.3">
      <c r="B14" s="116" t="s">
        <v>65</v>
      </c>
      <c r="C14" s="138">
        <v>12</v>
      </c>
      <c r="D14" s="138">
        <v>12</v>
      </c>
      <c r="E14" s="105">
        <v>11</v>
      </c>
      <c r="F14" s="232"/>
      <c r="G14" s="490"/>
      <c r="H14" s="490"/>
    </row>
    <row r="15" spans="1:8" ht="18" customHeight="1" thickBot="1" x14ac:dyDescent="0.3">
      <c r="B15" s="52" t="s">
        <v>69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1</v>
      </c>
      <c r="F15" s="232"/>
      <c r="G15" s="490"/>
      <c r="H15" s="490"/>
    </row>
    <row r="16" spans="1:8" ht="18" customHeight="1" thickBot="1" x14ac:dyDescent="0.3">
      <c r="B16" s="139" t="s">
        <v>85</v>
      </c>
      <c r="C16" s="119">
        <f>IF(ROUNDUP((C10-(C11*C15))/C12,0)&lt;0,0,ROUNDUP((C10-(C11*C15))/C12,0))</f>
        <v>8</v>
      </c>
      <c r="D16" s="119">
        <f>IF(ROUNDUP((D10-(D11*D15))/D12,0)&lt;0,0,ROUNDUP((D10-(D11*D15))/D12,0))</f>
        <v>3</v>
      </c>
      <c r="E16" s="119">
        <f>IF(ROUNDUP((E10-(E11*E15))/E12,0)&lt;0,0,ROUNDUP((E10-(E11*E15))/E12,0))</f>
        <v>0</v>
      </c>
      <c r="F16" s="516"/>
      <c r="G16" s="516"/>
      <c r="H16" s="516"/>
    </row>
    <row r="17" spans="1:18" ht="18" customHeight="1" x14ac:dyDescent="0.25">
      <c r="B17" s="140" t="s">
        <v>66</v>
      </c>
      <c r="C17" s="123">
        <f>(C15*C11)+(ROUNDUP(C16/2,0)*C13)+(ROUNDDOWN(C16/2,0)*C14)</f>
        <v>96</v>
      </c>
      <c r="D17" s="123">
        <f>(D15*D11)+(ROUNDUP(D16/2,0)*D13)+(ROUNDDOWN(D16/2,0)*D14)</f>
        <v>120</v>
      </c>
      <c r="E17" s="123">
        <f>(E15*E11)+(ROUNDUP(E16/2,0)*E13)+(ROUNDDOWN(E16/2,0)*E14)</f>
        <v>55</v>
      </c>
      <c r="F17" s="232"/>
    </row>
    <row r="18" spans="1:18" ht="12.75" customHeight="1" x14ac:dyDescent="0.25">
      <c r="B18" s="143" t="s">
        <v>71</v>
      </c>
      <c r="C18" s="78">
        <v>2952</v>
      </c>
      <c r="D18" s="78">
        <v>3268</v>
      </c>
      <c r="E18" s="78">
        <v>3372</v>
      </c>
    </row>
    <row r="19" spans="1:18" ht="12.75" customHeight="1" x14ac:dyDescent="0.25">
      <c r="B19" s="217" t="s">
        <v>70</v>
      </c>
      <c r="C19" s="218">
        <v>16.399999999999999</v>
      </c>
      <c r="D19" s="218">
        <v>38.9</v>
      </c>
      <c r="E19" s="218">
        <v>61.3</v>
      </c>
    </row>
    <row r="20" spans="1:18" ht="12.75" hidden="1" customHeight="1" x14ac:dyDescent="0.25">
      <c r="B20" s="219" t="s">
        <v>72</v>
      </c>
      <c r="C20" s="78">
        <f>+C17*C9</f>
        <v>43.2</v>
      </c>
      <c r="D20" s="78">
        <f>+D17*D9</f>
        <v>108</v>
      </c>
      <c r="E20" s="78">
        <f>+E17*E9</f>
        <v>73.150000000000006</v>
      </c>
    </row>
    <row r="21" spans="1:18" ht="12.75" customHeight="1" x14ac:dyDescent="0.25">
      <c r="B21" s="24"/>
      <c r="C21" s="25"/>
      <c r="D21" s="25"/>
      <c r="E21" s="25"/>
    </row>
    <row r="22" spans="1:18" ht="12.75" customHeight="1" x14ac:dyDescent="0.25">
      <c r="B22" s="86" t="s">
        <v>89</v>
      </c>
      <c r="C22" s="25"/>
      <c r="D22" s="25"/>
      <c r="E22" s="25"/>
    </row>
    <row r="23" spans="1:18" ht="12.75" customHeight="1" x14ac:dyDescent="0.25">
      <c r="B23" s="87" t="s">
        <v>50</v>
      </c>
    </row>
    <row r="24" spans="1:18" ht="18" customHeight="1" x14ac:dyDescent="0.25">
      <c r="A24" s="419"/>
      <c r="B24" s="419"/>
      <c r="C24" s="420" t="s">
        <v>93</v>
      </c>
      <c r="D24" s="421">
        <f>SUM(C20:E20)</f>
        <v>224.35</v>
      </c>
      <c r="E24" s="422" t="s">
        <v>283</v>
      </c>
      <c r="F24" s="419"/>
      <c r="G24" s="419"/>
      <c r="H24" s="419"/>
    </row>
    <row r="25" spans="1:18" ht="18" customHeight="1" x14ac:dyDescent="0.25">
      <c r="A25" s="35"/>
      <c r="B25" s="35"/>
      <c r="C25" s="220" t="s">
        <v>12</v>
      </c>
      <c r="D25" s="70">
        <f>ROUND(+D24/35,0)</f>
        <v>6</v>
      </c>
      <c r="E25" s="226" t="s">
        <v>4</v>
      </c>
      <c r="F25" s="35"/>
      <c r="G25" s="35"/>
      <c r="H25" s="35"/>
    </row>
    <row r="26" spans="1:18" ht="12.75" customHeight="1" x14ac:dyDescent="0.25">
      <c r="A26" s="39"/>
      <c r="B26" s="487" t="s">
        <v>8</v>
      </c>
      <c r="C26" s="487"/>
      <c r="D26" s="487"/>
      <c r="E26" s="487"/>
      <c r="F26" s="487"/>
      <c r="G26" s="487"/>
      <c r="H26" s="35"/>
    </row>
    <row r="27" spans="1:18" ht="18" customHeight="1" x14ac:dyDescent="0.25">
      <c r="A27" s="419"/>
      <c r="B27" s="419"/>
      <c r="C27" s="420" t="s">
        <v>96</v>
      </c>
      <c r="D27" s="421">
        <f>SUM(C17*C19+D17*D19+E17*E19)</f>
        <v>9613.9</v>
      </c>
      <c r="E27" s="422" t="s">
        <v>3</v>
      </c>
      <c r="F27" s="419"/>
      <c r="G27" s="419"/>
      <c r="H27" s="419"/>
    </row>
    <row r="28" spans="1:18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7.399999999999999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s="17" customForma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7" customFormat="1" x14ac:dyDescent="0.25">
      <c r="A33" s="23"/>
      <c r="B33" s="23"/>
      <c r="C33" s="23"/>
      <c r="D33" s="23"/>
      <c r="E33" s="23"/>
      <c r="F33" s="23"/>
      <c r="G33" s="23"/>
      <c r="H33" s="224" t="s">
        <v>56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s="17" customFormat="1" x14ac:dyDescent="0.25">
      <c r="A34" s="23"/>
      <c r="B34" s="23"/>
      <c r="C34" s="23"/>
      <c r="D34" s="23"/>
      <c r="E34" s="23"/>
      <c r="F34" s="23"/>
      <c r="G34" s="23"/>
      <c r="H34" s="199" t="s">
        <v>55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199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59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17" customFormat="1" ht="12.75" customHeight="1" x14ac:dyDescent="0.25">
      <c r="A40" s="23"/>
      <c r="B40" s="23"/>
      <c r="C40" s="23"/>
      <c r="D40" s="23"/>
      <c r="E40" s="23"/>
      <c r="F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1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18" ht="21" customHeight="1" x14ac:dyDescent="0.25">
      <c r="A48" s="13"/>
      <c r="B48" s="11"/>
      <c r="C48" s="112"/>
      <c r="D48" s="112"/>
      <c r="E48" s="112"/>
      <c r="F48" s="112"/>
      <c r="G48" s="112"/>
      <c r="H48" s="112"/>
    </row>
  </sheetData>
  <sheetProtection algorithmName="SHA-512" hashValue="8A2Z7VK+/J8RFPlTu3PQ05tPEbNwDlft9CWPo3RDpNNuwLcBzPqJ9hZMEKJUT0GfYLbOCDgPByUg1n8AlOOymA==" saltValue="BeYjkwU8FMfYGFKIvSqEfA==" spinCount="100000" sheet="1" selectLockedCells="1"/>
  <mergeCells count="4">
    <mergeCell ref="A1:H1"/>
    <mergeCell ref="G10:H15"/>
    <mergeCell ref="F16:H16"/>
    <mergeCell ref="B26:G26"/>
  </mergeCells>
  <dataValidations disablePrompts="1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2300-000000000000}"/>
  </dataValidations>
  <hyperlinks>
    <hyperlink ref="H34" r:id="rId1" xr:uid="{00000000-0004-0000-2300-000001000000}"/>
    <hyperlink ref="H38" r:id="rId2" xr:uid="{00000000-0004-0000-2300-000002000000}"/>
    <hyperlink ref="H37" r:id="rId3" xr:uid="{00000000-0004-0000-2300-000003000000}"/>
    <hyperlink ref="H36" r:id="rId4" xr:uid="{00000000-0004-0000-2300-000004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9">
    <tabColor theme="3"/>
  </sheetPr>
  <dimension ref="A1:R48"/>
  <sheetViews>
    <sheetView showGridLines="0" showRowColHeaders="0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49" t="s">
        <v>305</v>
      </c>
      <c r="B1" s="549"/>
      <c r="C1" s="549"/>
      <c r="D1" s="549"/>
      <c r="E1" s="549"/>
      <c r="F1" s="549"/>
      <c r="G1" s="549"/>
      <c r="H1" s="549"/>
    </row>
    <row r="2" spans="1:8" ht="12.75" customHeight="1" x14ac:dyDescent="0.25"/>
    <row r="3" spans="1:8" ht="18" customHeight="1" x14ac:dyDescent="0.3">
      <c r="B3" s="41"/>
      <c r="C3" s="36"/>
      <c r="D3" s="94" t="s">
        <v>87</v>
      </c>
      <c r="E3" s="96">
        <v>40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86</v>
      </c>
      <c r="E5" s="344">
        <f>E3+E3*E4/100</f>
        <v>40</v>
      </c>
      <c r="F5" s="3"/>
      <c r="G5" s="3"/>
      <c r="H5" s="3"/>
    </row>
    <row r="6" spans="1:8" ht="12.75" customHeight="1" x14ac:dyDescent="0.25">
      <c r="B6" s="12"/>
      <c r="C6" s="200"/>
      <c r="D6" s="200"/>
      <c r="E6" s="200"/>
    </row>
    <row r="7" spans="1:8" ht="18" customHeight="1" thickBot="1" x14ac:dyDescent="0.35">
      <c r="B7" s="201" t="s">
        <v>0</v>
      </c>
      <c r="C7" s="202" t="s">
        <v>248</v>
      </c>
      <c r="D7" s="227" t="s">
        <v>249</v>
      </c>
      <c r="E7" s="228" t="s">
        <v>250</v>
      </c>
      <c r="F7" s="229"/>
      <c r="G7" s="1"/>
      <c r="H7" s="1"/>
    </row>
    <row r="8" spans="1:8" ht="18" customHeight="1" thickTop="1" x14ac:dyDescent="0.3">
      <c r="B8" s="204" t="s">
        <v>11</v>
      </c>
      <c r="C8" s="153">
        <v>0.2</v>
      </c>
      <c r="D8" s="154">
        <v>0.5</v>
      </c>
      <c r="E8" s="153">
        <v>0.3</v>
      </c>
      <c r="F8" s="74">
        <f>SUM(B8,C8,D8,E8)</f>
        <v>1</v>
      </c>
      <c r="G8" s="1"/>
      <c r="H8" s="1"/>
    </row>
    <row r="9" spans="1:8" ht="18.75" customHeight="1" x14ac:dyDescent="0.25">
      <c r="B9" s="205" t="s">
        <v>67</v>
      </c>
      <c r="C9" s="206">
        <v>1</v>
      </c>
      <c r="D9" s="230">
        <v>2</v>
      </c>
      <c r="E9" s="206">
        <v>3</v>
      </c>
      <c r="F9" s="203"/>
    </row>
    <row r="10" spans="1:8" ht="12.75" customHeight="1" x14ac:dyDescent="0.25">
      <c r="B10" s="408" t="s">
        <v>280</v>
      </c>
      <c r="C10" s="208">
        <f>ROUND((E5*C8)/(4/12),0)</f>
        <v>24</v>
      </c>
      <c r="D10" s="208">
        <f>ROUND((E5*D8)/(8/12),0)</f>
        <v>30</v>
      </c>
      <c r="E10" s="208">
        <f>ROUNDUP(E5*E8,0)</f>
        <v>12</v>
      </c>
      <c r="F10" s="203"/>
      <c r="G10" s="490" t="s">
        <v>259</v>
      </c>
      <c r="H10" s="490"/>
    </row>
    <row r="11" spans="1:8" ht="12.75" customHeight="1" thickBot="1" x14ac:dyDescent="0.3">
      <c r="B11" s="407" t="s">
        <v>291</v>
      </c>
      <c r="C11" s="206">
        <v>240</v>
      </c>
      <c r="D11" s="230">
        <v>120</v>
      </c>
      <c r="E11" s="206">
        <v>72</v>
      </c>
      <c r="F11" s="232"/>
      <c r="G11" s="490"/>
      <c r="H11" s="490"/>
    </row>
    <row r="12" spans="1:8" ht="12.75" hidden="1" customHeight="1" x14ac:dyDescent="0.25">
      <c r="B12" s="115" t="s">
        <v>84</v>
      </c>
      <c r="C12" s="138">
        <v>0</v>
      </c>
      <c r="D12" s="138">
        <v>0</v>
      </c>
      <c r="E12" s="105">
        <v>0</v>
      </c>
      <c r="F12" s="232"/>
      <c r="G12" s="490"/>
      <c r="H12" s="490"/>
    </row>
    <row r="13" spans="1:8" ht="18.600000000000001" hidden="1" customHeight="1" x14ac:dyDescent="0.25">
      <c r="B13" s="116" t="s">
        <v>64</v>
      </c>
      <c r="C13" s="138">
        <v>0</v>
      </c>
      <c r="D13" s="138">
        <v>0</v>
      </c>
      <c r="E13" s="105">
        <v>0</v>
      </c>
      <c r="F13" s="232"/>
      <c r="G13" s="490"/>
      <c r="H13" s="490"/>
    </row>
    <row r="14" spans="1:8" ht="18.600000000000001" hidden="1" customHeight="1" thickBot="1" x14ac:dyDescent="0.3">
      <c r="B14" s="116" t="s">
        <v>65</v>
      </c>
      <c r="C14" s="138">
        <v>0</v>
      </c>
      <c r="D14" s="138">
        <v>0</v>
      </c>
      <c r="E14" s="105">
        <v>0</v>
      </c>
      <c r="F14" s="232"/>
      <c r="G14" s="490"/>
      <c r="H14" s="490"/>
    </row>
    <row r="15" spans="1:8" ht="18" customHeight="1" thickBot="1" x14ac:dyDescent="0.3">
      <c r="B15" s="52" t="s">
        <v>69</v>
      </c>
      <c r="C15" s="119">
        <f>ROUND(C10/C11,0)</f>
        <v>0</v>
      </c>
      <c r="D15" s="119">
        <f t="shared" ref="D15:E15" si="0">ROUND(D10/D11,0)</f>
        <v>0</v>
      </c>
      <c r="E15" s="119">
        <f t="shared" si="0"/>
        <v>0</v>
      </c>
      <c r="F15" s="232"/>
      <c r="G15" s="490"/>
      <c r="H15" s="490"/>
    </row>
    <row r="16" spans="1:8" ht="18" hidden="1" customHeight="1" thickBot="1" x14ac:dyDescent="0.3">
      <c r="B16" s="139" t="s">
        <v>85</v>
      </c>
      <c r="C16" s="119">
        <v>0</v>
      </c>
      <c r="D16" s="119">
        <v>0</v>
      </c>
      <c r="E16" s="119">
        <v>0</v>
      </c>
      <c r="F16" s="516"/>
      <c r="G16" s="516"/>
      <c r="H16" s="516"/>
    </row>
    <row r="17" spans="1:18" ht="18" hidden="1" customHeight="1" x14ac:dyDescent="0.25">
      <c r="B17" s="406" t="s">
        <v>279</v>
      </c>
      <c r="C17" s="123">
        <f>(C15*C11)+(ROUNDUP(C16/2,0)*C13)+(ROUNDDOWN(C16/2,0)*C14)</f>
        <v>0</v>
      </c>
      <c r="D17" s="123">
        <f>(D15*D11)+(ROUNDUP(D16/2,0)*D13)+(ROUNDDOWN(D16/2,0)*D14)</f>
        <v>0</v>
      </c>
      <c r="E17" s="123">
        <f>(E15*E11)+(ROUNDUP(E16/2,0)*E13)+(ROUNDDOWN(E16/2,0)*E14)</f>
        <v>0</v>
      </c>
      <c r="F17" s="232"/>
    </row>
    <row r="18" spans="1:18" ht="12.75" customHeight="1" x14ac:dyDescent="0.25">
      <c r="B18" s="143" t="s">
        <v>71</v>
      </c>
      <c r="C18" s="78">
        <v>3665</v>
      </c>
      <c r="D18" s="78">
        <v>3854</v>
      </c>
      <c r="E18" s="78">
        <v>3508</v>
      </c>
    </row>
    <row r="19" spans="1:18" ht="12.75" customHeight="1" x14ac:dyDescent="0.25">
      <c r="B19" s="217" t="s">
        <v>70</v>
      </c>
      <c r="C19" s="218">
        <v>15.3</v>
      </c>
      <c r="D19" s="218">
        <v>32.1</v>
      </c>
      <c r="E19" s="218">
        <v>48.7</v>
      </c>
    </row>
    <row r="20" spans="1:18" ht="12.75" hidden="1" customHeight="1" x14ac:dyDescent="0.25">
      <c r="B20" s="219" t="s">
        <v>72</v>
      </c>
      <c r="C20" s="78">
        <f>+C17*C9</f>
        <v>0</v>
      </c>
      <c r="D20" s="78">
        <f>+D17*D9</f>
        <v>0</v>
      </c>
      <c r="E20" s="78">
        <f>+E17*E9</f>
        <v>0</v>
      </c>
    </row>
    <row r="21" spans="1:18" ht="12.75" customHeight="1" x14ac:dyDescent="0.25">
      <c r="B21" s="24"/>
      <c r="C21" s="25"/>
      <c r="D21" s="25"/>
      <c r="E21" s="25"/>
    </row>
    <row r="22" spans="1:18" ht="12.75" customHeight="1" x14ac:dyDescent="0.25">
      <c r="B22" s="86" t="s">
        <v>89</v>
      </c>
      <c r="C22" s="25"/>
      <c r="D22" s="25"/>
      <c r="E22" s="25"/>
    </row>
    <row r="23" spans="1:18" ht="12.75" customHeight="1" x14ac:dyDescent="0.25">
      <c r="B23" s="87" t="s">
        <v>50</v>
      </c>
    </row>
    <row r="24" spans="1:18" ht="18" customHeight="1" x14ac:dyDescent="0.25">
      <c r="A24" s="419"/>
      <c r="B24" s="419"/>
      <c r="C24" s="420" t="s">
        <v>93</v>
      </c>
      <c r="D24" s="421">
        <f>SUM(C20:E20)</f>
        <v>0</v>
      </c>
      <c r="E24" s="422" t="s">
        <v>284</v>
      </c>
      <c r="F24" s="419"/>
      <c r="G24" s="419"/>
      <c r="H24" s="419"/>
    </row>
    <row r="25" spans="1:18" ht="18" customHeight="1" x14ac:dyDescent="0.25">
      <c r="A25" s="35"/>
      <c r="B25" s="35"/>
      <c r="C25" s="220" t="s">
        <v>12</v>
      </c>
      <c r="D25" s="70">
        <f>ROUND(+D24/35,0)</f>
        <v>0</v>
      </c>
      <c r="E25" s="226" t="s">
        <v>4</v>
      </c>
      <c r="F25" s="35"/>
      <c r="G25" s="35"/>
      <c r="H25" s="35"/>
    </row>
    <row r="26" spans="1:18" ht="12.75" customHeight="1" x14ac:dyDescent="0.25">
      <c r="A26" s="39"/>
      <c r="B26" s="487" t="s">
        <v>8</v>
      </c>
      <c r="C26" s="487"/>
      <c r="D26" s="487"/>
      <c r="E26" s="487"/>
      <c r="F26" s="487"/>
      <c r="G26" s="487"/>
      <c r="H26" s="35"/>
    </row>
    <row r="27" spans="1:18" ht="18" customHeight="1" x14ac:dyDescent="0.25">
      <c r="A27" s="419"/>
      <c r="B27" s="419"/>
      <c r="C27" s="420" t="s">
        <v>96</v>
      </c>
      <c r="D27" s="421">
        <f>SUM(C17*C19+D17*D19+E17*E19)</f>
        <v>0</v>
      </c>
      <c r="E27" s="422" t="s">
        <v>3</v>
      </c>
      <c r="F27" s="419"/>
      <c r="G27" s="419"/>
      <c r="H27" s="419"/>
    </row>
    <row r="28" spans="1:18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7.399999999999999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s="17" customForma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7" customFormat="1" x14ac:dyDescent="0.25">
      <c r="A33" s="23"/>
      <c r="B33" s="23"/>
      <c r="C33" s="23"/>
      <c r="D33" s="23"/>
      <c r="E33" s="23"/>
      <c r="F33" s="23"/>
      <c r="G33" s="23"/>
      <c r="H33" s="224" t="s">
        <v>56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s="17" customFormat="1" x14ac:dyDescent="0.25">
      <c r="A34" s="23"/>
      <c r="B34" s="23"/>
      <c r="C34" s="23"/>
      <c r="D34" s="23"/>
      <c r="E34" s="23"/>
      <c r="F34" s="23"/>
      <c r="G34" s="23"/>
      <c r="H34" s="199" t="s">
        <v>55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199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59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17" customFormat="1" ht="12.75" customHeight="1" x14ac:dyDescent="0.25">
      <c r="A40" s="23"/>
      <c r="B40" s="23"/>
      <c r="C40" s="23"/>
      <c r="D40" s="23"/>
      <c r="E40" s="23"/>
      <c r="F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1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18" ht="21" customHeight="1" x14ac:dyDescent="0.25">
      <c r="A48" s="13"/>
      <c r="B48" s="11"/>
      <c r="C48" s="112"/>
      <c r="D48" s="112"/>
      <c r="E48" s="112"/>
      <c r="F48" s="112"/>
      <c r="G48" s="112"/>
      <c r="H48" s="112"/>
    </row>
  </sheetData>
  <sheetProtection algorithmName="SHA-512" hashValue="yui75+UKSuoQ3A53QL94+gZu9QHiOpmV9uZMo18WWO9+aBaLCzjiB+9ZhnzrNckswNQOv4bJNFUjXeXlpLQF2A==" saltValue="JgznLosjsok2AYEcxMp4kw==" spinCount="100000" sheet="1" selectLockedCells="1"/>
  <mergeCells count="4">
    <mergeCell ref="A1:H1"/>
    <mergeCell ref="G10:H15"/>
    <mergeCell ref="F16:H16"/>
    <mergeCell ref="B26:G26"/>
  </mergeCells>
  <dataValidations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2400-000000000000}"/>
  </dataValidations>
  <hyperlinks>
    <hyperlink ref="H34" r:id="rId1" xr:uid="{00000000-0004-0000-2400-000001000000}"/>
    <hyperlink ref="H38" r:id="rId2" xr:uid="{00000000-0004-0000-2400-000002000000}"/>
    <hyperlink ref="H37" r:id="rId3" xr:uid="{00000000-0004-0000-2400-000003000000}"/>
    <hyperlink ref="H36" r:id="rId4" xr:uid="{00000000-0004-0000-2400-000004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0">
    <tabColor theme="3"/>
  </sheetPr>
  <dimension ref="A1:R48"/>
  <sheetViews>
    <sheetView showGridLines="0" showRowColHeaders="0" zoomScaleNormal="100" workbookViewId="0">
      <selection activeCell="H34" sqref="H34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49" t="s">
        <v>260</v>
      </c>
      <c r="B1" s="549"/>
      <c r="C1" s="549"/>
      <c r="D1" s="549"/>
      <c r="E1" s="549"/>
      <c r="F1" s="549"/>
      <c r="G1" s="549"/>
      <c r="H1" s="549"/>
    </row>
    <row r="2" spans="1:8" ht="12.75" customHeight="1" x14ac:dyDescent="0.25"/>
    <row r="3" spans="1:8" ht="18" customHeight="1" x14ac:dyDescent="0.3">
      <c r="B3" s="41"/>
      <c r="C3" s="36"/>
      <c r="D3" s="94" t="s">
        <v>87</v>
      </c>
      <c r="E3" s="96">
        <v>40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86</v>
      </c>
      <c r="E5" s="344">
        <f>E3+E3*E4/100</f>
        <v>40</v>
      </c>
      <c r="F5" s="3"/>
      <c r="G5" s="3"/>
      <c r="H5" s="3"/>
    </row>
    <row r="6" spans="1:8" ht="12.75" customHeight="1" x14ac:dyDescent="0.25">
      <c r="B6" s="12"/>
      <c r="C6" s="200"/>
      <c r="D6" s="200"/>
      <c r="E6" s="200"/>
    </row>
    <row r="7" spans="1:8" ht="18" customHeight="1" thickBot="1" x14ac:dyDescent="0.35">
      <c r="B7" s="201" t="s">
        <v>0</v>
      </c>
      <c r="C7" s="202" t="s">
        <v>248</v>
      </c>
      <c r="D7" s="227" t="s">
        <v>249</v>
      </c>
      <c r="E7" s="228" t="s">
        <v>250</v>
      </c>
      <c r="F7" s="229"/>
      <c r="G7" s="1"/>
      <c r="H7" s="1"/>
    </row>
    <row r="8" spans="1:8" ht="18" customHeight="1" thickTop="1" x14ac:dyDescent="0.3">
      <c r="B8" s="204" t="s">
        <v>11</v>
      </c>
      <c r="C8" s="153">
        <v>0.17</v>
      </c>
      <c r="D8" s="154">
        <v>0.33</v>
      </c>
      <c r="E8" s="153">
        <v>0.5</v>
      </c>
      <c r="F8" s="74">
        <f>SUM(B8,C8,D8,E8)</f>
        <v>1</v>
      </c>
      <c r="G8" s="1"/>
      <c r="H8" s="1"/>
    </row>
    <row r="9" spans="1:8" ht="18.75" customHeight="1" x14ac:dyDescent="0.25">
      <c r="B9" s="205" t="s">
        <v>67</v>
      </c>
      <c r="C9" s="206">
        <v>1</v>
      </c>
      <c r="D9" s="230">
        <v>2</v>
      </c>
      <c r="E9" s="206">
        <v>3</v>
      </c>
      <c r="F9" s="203"/>
    </row>
    <row r="10" spans="1:8" ht="12.75" customHeight="1" x14ac:dyDescent="0.25">
      <c r="B10" s="408" t="s">
        <v>280</v>
      </c>
      <c r="C10" s="208">
        <f>+(E5*C8)/(4/12)</f>
        <v>20.400000000000002</v>
      </c>
      <c r="D10" s="231">
        <f>+(E5*D8)/(8/12)</f>
        <v>19.800000000000004</v>
      </c>
      <c r="E10" s="208">
        <f>+(E5*E8)</f>
        <v>20</v>
      </c>
      <c r="F10" s="203"/>
      <c r="G10" s="490" t="s">
        <v>259</v>
      </c>
      <c r="H10" s="490"/>
    </row>
    <row r="11" spans="1:8" ht="12.75" customHeight="1" thickBot="1" x14ac:dyDescent="0.3">
      <c r="B11" s="407" t="s">
        <v>291</v>
      </c>
      <c r="C11" s="206">
        <v>240</v>
      </c>
      <c r="D11" s="230">
        <v>120</v>
      </c>
      <c r="E11" s="206">
        <v>72</v>
      </c>
      <c r="F11" s="232"/>
      <c r="G11" s="490"/>
      <c r="H11" s="490"/>
    </row>
    <row r="12" spans="1:8" ht="12.75" hidden="1" customHeight="1" x14ac:dyDescent="0.25">
      <c r="B12" s="115" t="s">
        <v>84</v>
      </c>
      <c r="C12" s="138">
        <v>0</v>
      </c>
      <c r="D12" s="138">
        <v>0</v>
      </c>
      <c r="E12" s="105">
        <v>0</v>
      </c>
      <c r="F12" s="232"/>
      <c r="G12" s="490"/>
      <c r="H12" s="490"/>
    </row>
    <row r="13" spans="1:8" ht="18.75" hidden="1" customHeight="1" x14ac:dyDescent="0.25">
      <c r="B13" s="116" t="s">
        <v>64</v>
      </c>
      <c r="C13" s="138">
        <v>0</v>
      </c>
      <c r="D13" s="138">
        <v>0</v>
      </c>
      <c r="E13" s="105">
        <v>0</v>
      </c>
      <c r="F13" s="232"/>
      <c r="G13" s="490"/>
      <c r="H13" s="490"/>
    </row>
    <row r="14" spans="1:8" ht="18.75" hidden="1" customHeight="1" thickBot="1" x14ac:dyDescent="0.3">
      <c r="B14" s="116" t="s">
        <v>65</v>
      </c>
      <c r="C14" s="138">
        <v>0</v>
      </c>
      <c r="D14" s="138">
        <v>0</v>
      </c>
      <c r="E14" s="105">
        <v>0</v>
      </c>
      <c r="F14" s="232"/>
      <c r="G14" s="490"/>
      <c r="H14" s="490"/>
    </row>
    <row r="15" spans="1:8" ht="18" customHeight="1" thickBot="1" x14ac:dyDescent="0.3">
      <c r="B15" s="52" t="s">
        <v>69</v>
      </c>
      <c r="C15" s="119">
        <f>ROUND(C10/C11,0)</f>
        <v>0</v>
      </c>
      <c r="D15" s="119">
        <f>ROUND(D10/D11,0)</f>
        <v>0</v>
      </c>
      <c r="E15" s="119">
        <f>ROUND(E10/E11,0)</f>
        <v>0</v>
      </c>
      <c r="F15" s="232"/>
      <c r="G15" s="490"/>
      <c r="H15" s="490"/>
    </row>
    <row r="16" spans="1:8" ht="18" hidden="1" customHeight="1" thickBot="1" x14ac:dyDescent="0.3">
      <c r="B16" s="139" t="s">
        <v>85</v>
      </c>
      <c r="C16" s="119" t="e">
        <f>IF(ROUNDUP((C10-(C11*C15))/C12,0)&lt;0,0,ROUNDUP((C10-(C11*C15))/C12,0))</f>
        <v>#DIV/0!</v>
      </c>
      <c r="D16" s="119" t="e">
        <f>IF(ROUNDUP((D10-(D11*D15))/D12,0)&lt;0,0,ROUNDUP((D10-(D11*D15))/D12,0))</f>
        <v>#DIV/0!</v>
      </c>
      <c r="E16" s="119" t="e">
        <f>IF(ROUNDUP((E10-(E11*E15))/E12,0)&lt;0,0,ROUNDUP((E10-(E11*E15))/E12,0))</f>
        <v>#DIV/0!</v>
      </c>
      <c r="F16" s="516"/>
      <c r="G16" s="516"/>
      <c r="H16" s="516"/>
    </row>
    <row r="17" spans="1:18" ht="18" hidden="1" customHeight="1" x14ac:dyDescent="0.25">
      <c r="B17" s="140" t="s">
        <v>66</v>
      </c>
      <c r="C17" s="123" t="e">
        <f>(C15*C11)+(ROUNDUP(C16/2,0)*C13)+(ROUNDDOWN(C16/2,0)*C14)</f>
        <v>#DIV/0!</v>
      </c>
      <c r="D17" s="123" t="e">
        <f>(D15*D11)+(ROUNDUP(D16/2,0)*D13)+(ROUNDDOWN(D16/2,0)*D14)</f>
        <v>#DIV/0!</v>
      </c>
      <c r="E17" s="123" t="e">
        <f>(E15*E11)+(ROUNDUP(E16/2,0)*E13)+(ROUNDDOWN(E16/2,0)*E14)</f>
        <v>#DIV/0!</v>
      </c>
      <c r="F17" s="232"/>
    </row>
    <row r="18" spans="1:18" ht="12.75" customHeight="1" x14ac:dyDescent="0.25">
      <c r="B18" s="143" t="s">
        <v>71</v>
      </c>
      <c r="C18" s="78">
        <v>3665</v>
      </c>
      <c r="D18" s="78">
        <v>3854</v>
      </c>
      <c r="E18" s="78">
        <v>3508</v>
      </c>
    </row>
    <row r="19" spans="1:18" ht="12.75" customHeight="1" x14ac:dyDescent="0.25">
      <c r="B19" s="217" t="s">
        <v>70</v>
      </c>
      <c r="C19" s="218">
        <v>15.3</v>
      </c>
      <c r="D19" s="218">
        <v>32.1</v>
      </c>
      <c r="E19" s="218">
        <v>48.7</v>
      </c>
    </row>
    <row r="20" spans="1:18" ht="12.75" hidden="1" customHeight="1" x14ac:dyDescent="0.25">
      <c r="B20" s="219" t="s">
        <v>72</v>
      </c>
      <c r="C20" s="78" t="e">
        <f>+C17*C9</f>
        <v>#DIV/0!</v>
      </c>
      <c r="D20" s="78" t="e">
        <f>+D17*D9</f>
        <v>#DIV/0!</v>
      </c>
      <c r="E20" s="78" t="e">
        <f>+E17*E9</f>
        <v>#DIV/0!</v>
      </c>
    </row>
    <row r="21" spans="1:18" ht="12.75" customHeight="1" x14ac:dyDescent="0.25">
      <c r="B21" s="24"/>
      <c r="C21" s="25"/>
      <c r="D21" s="25"/>
      <c r="E21" s="25"/>
    </row>
    <row r="22" spans="1:18" ht="12.75" customHeight="1" x14ac:dyDescent="0.25">
      <c r="B22" s="86" t="s">
        <v>89</v>
      </c>
      <c r="C22" s="25"/>
      <c r="D22" s="25"/>
      <c r="E22" s="25"/>
    </row>
    <row r="23" spans="1:18" ht="12.75" customHeight="1" x14ac:dyDescent="0.25">
      <c r="B23" s="87" t="s">
        <v>50</v>
      </c>
    </row>
    <row r="24" spans="1:18" ht="18" customHeight="1" x14ac:dyDescent="0.25">
      <c r="A24" s="419"/>
      <c r="B24" s="419"/>
      <c r="C24" s="420" t="s">
        <v>93</v>
      </c>
      <c r="D24" s="421" t="e">
        <f>SUM(C20:E20)</f>
        <v>#DIV/0!</v>
      </c>
      <c r="E24" s="422" t="s">
        <v>284</v>
      </c>
      <c r="F24" s="419"/>
      <c r="G24" s="419"/>
      <c r="H24" s="419"/>
    </row>
    <row r="25" spans="1:18" ht="18" customHeight="1" x14ac:dyDescent="0.25">
      <c r="A25" s="35"/>
      <c r="B25" s="35"/>
      <c r="C25" s="220" t="s">
        <v>12</v>
      </c>
      <c r="D25" s="70" t="e">
        <f>ROUND(+D24/35,0)</f>
        <v>#DIV/0!</v>
      </c>
      <c r="E25" s="226" t="s">
        <v>4</v>
      </c>
      <c r="F25" s="35"/>
      <c r="G25" s="35"/>
      <c r="H25" s="35"/>
    </row>
    <row r="26" spans="1:18" ht="12.75" customHeight="1" x14ac:dyDescent="0.25">
      <c r="A26" s="39"/>
      <c r="B26" s="487" t="s">
        <v>8</v>
      </c>
      <c r="C26" s="487"/>
      <c r="D26" s="487"/>
      <c r="E26" s="487"/>
      <c r="F26" s="487"/>
      <c r="G26" s="487"/>
      <c r="H26" s="35"/>
    </row>
    <row r="27" spans="1:18" ht="18" customHeight="1" x14ac:dyDescent="0.25">
      <c r="A27" s="419"/>
      <c r="B27" s="419"/>
      <c r="C27" s="420" t="s">
        <v>96</v>
      </c>
      <c r="D27" s="421" t="e">
        <f>SUM(C17*C19+D17*D19+E17*E19)</f>
        <v>#DIV/0!</v>
      </c>
      <c r="E27" s="422" t="s">
        <v>3</v>
      </c>
      <c r="F27" s="419"/>
      <c r="G27" s="419"/>
      <c r="H27" s="419"/>
    </row>
    <row r="28" spans="1:18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7.399999999999999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s="17" customForma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7" customFormat="1" x14ac:dyDescent="0.25">
      <c r="A33" s="23"/>
      <c r="B33" s="23"/>
      <c r="C33" s="23"/>
      <c r="D33" s="23"/>
      <c r="E33" s="23"/>
      <c r="F33" s="23"/>
      <c r="G33" s="23"/>
      <c r="H33" s="224" t="s">
        <v>56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s="17" customFormat="1" x14ac:dyDescent="0.25">
      <c r="A34" s="23"/>
      <c r="B34" s="23"/>
      <c r="C34" s="23"/>
      <c r="D34" s="23"/>
      <c r="E34" s="23"/>
      <c r="F34" s="23"/>
      <c r="G34" s="23"/>
      <c r="H34" s="199" t="s">
        <v>55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199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59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17" customFormat="1" ht="12.75" customHeight="1" x14ac:dyDescent="0.25">
      <c r="A40" s="23"/>
      <c r="B40" s="23"/>
      <c r="C40" s="23"/>
      <c r="D40" s="23"/>
      <c r="E40" s="23"/>
      <c r="F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1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18" ht="21" customHeight="1" x14ac:dyDescent="0.25">
      <c r="A48" s="13"/>
      <c r="B48" s="11"/>
      <c r="C48" s="112"/>
      <c r="D48" s="112"/>
      <c r="E48" s="112"/>
      <c r="F48" s="112"/>
      <c r="G48" s="112"/>
      <c r="H48" s="112"/>
    </row>
  </sheetData>
  <sheetProtection algorithmName="SHA-512" hashValue="5/i95wWyWg9CeCoxhcZ1G5GG5DP14ysZAibQYaulLJl6nxFe6O8NShLuJ4yJmPnd5iYbyknu2eoYvSYeHIZIkQ==" saltValue="rzKEYqhqFZ5SDW/I1QiV6Q==" spinCount="100000" sheet="1" selectLockedCells="1"/>
  <mergeCells count="4">
    <mergeCell ref="A1:H1"/>
    <mergeCell ref="G10:H15"/>
    <mergeCell ref="F16:H16"/>
    <mergeCell ref="B26:G26"/>
  </mergeCells>
  <dataValidations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2500-000000000000}"/>
  </dataValidations>
  <hyperlinks>
    <hyperlink ref="H34" r:id="rId1" xr:uid="{00000000-0004-0000-2500-000001000000}"/>
    <hyperlink ref="H38" r:id="rId2" xr:uid="{00000000-0004-0000-2500-000002000000}"/>
    <hyperlink ref="H37" r:id="rId3" xr:uid="{00000000-0004-0000-2500-000003000000}"/>
    <hyperlink ref="H36" r:id="rId4" xr:uid="{00000000-0004-0000-2500-000004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1">
    <tabColor theme="3"/>
  </sheetPr>
  <dimension ref="A1:R48"/>
  <sheetViews>
    <sheetView showGridLines="0" showRowColHeaders="0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49" t="s">
        <v>306</v>
      </c>
      <c r="B1" s="549"/>
      <c r="C1" s="549"/>
      <c r="D1" s="549"/>
      <c r="E1" s="549"/>
      <c r="F1" s="549"/>
      <c r="G1" s="549"/>
      <c r="H1" s="549"/>
    </row>
    <row r="2" spans="1:8" ht="12.75" customHeight="1" x14ac:dyDescent="0.25"/>
    <row r="3" spans="1:8" ht="18" customHeight="1" x14ac:dyDescent="0.3">
      <c r="B3" s="41"/>
      <c r="C3" s="36"/>
      <c r="D3" s="94" t="s">
        <v>87</v>
      </c>
      <c r="E3" s="96">
        <v>200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86</v>
      </c>
      <c r="E5" s="344">
        <f>E3+E3*E4/100</f>
        <v>200</v>
      </c>
      <c r="F5" s="3"/>
      <c r="G5" s="3"/>
      <c r="H5" s="3"/>
    </row>
    <row r="6" spans="1:8" ht="12.75" customHeight="1" x14ac:dyDescent="0.25">
      <c r="B6" s="12"/>
      <c r="C6" s="200"/>
      <c r="D6" s="200"/>
      <c r="E6" s="200"/>
    </row>
    <row r="7" spans="1:8" ht="18" customHeight="1" thickBot="1" x14ac:dyDescent="0.35">
      <c r="B7" s="201" t="s">
        <v>0</v>
      </c>
      <c r="C7" s="202" t="s">
        <v>274</v>
      </c>
      <c r="D7" s="227" t="s">
        <v>275</v>
      </c>
      <c r="E7" s="228" t="s">
        <v>276</v>
      </c>
      <c r="F7" s="229"/>
      <c r="G7" s="1"/>
      <c r="H7" s="1"/>
    </row>
    <row r="8" spans="1:8" ht="18" customHeight="1" thickTop="1" x14ac:dyDescent="0.3">
      <c r="B8" s="204" t="s">
        <v>11</v>
      </c>
      <c r="C8" s="153">
        <v>0.2</v>
      </c>
      <c r="D8" s="154">
        <v>0.5</v>
      </c>
      <c r="E8" s="153">
        <v>0.3</v>
      </c>
      <c r="F8" s="74">
        <f>SUM(B8,C8,D8,E8)</f>
        <v>1</v>
      </c>
      <c r="G8" s="1"/>
      <c r="H8" s="1"/>
    </row>
    <row r="9" spans="1:8" ht="18.75" hidden="1" customHeight="1" x14ac:dyDescent="0.25">
      <c r="B9" s="205" t="s">
        <v>67</v>
      </c>
      <c r="C9" s="206">
        <v>0.67</v>
      </c>
      <c r="D9" s="230">
        <v>1.34</v>
      </c>
      <c r="E9" s="206">
        <v>2</v>
      </c>
      <c r="F9" s="203"/>
    </row>
    <row r="10" spans="1:8" ht="12.75" customHeight="1" x14ac:dyDescent="0.25">
      <c r="B10" s="207" t="s">
        <v>1</v>
      </c>
      <c r="C10" s="208">
        <f>+(E5*C8)/C9</f>
        <v>59.701492537313428</v>
      </c>
      <c r="D10" s="231">
        <f>+(E5*D8)/D9</f>
        <v>74.626865671641781</v>
      </c>
      <c r="E10" s="208">
        <f>+(E5*E8)/E9</f>
        <v>30</v>
      </c>
      <c r="F10" s="203"/>
      <c r="G10" s="490" t="s">
        <v>259</v>
      </c>
      <c r="H10" s="490"/>
    </row>
    <row r="11" spans="1:8" ht="12.75" customHeight="1" x14ac:dyDescent="0.25">
      <c r="B11" s="209" t="s">
        <v>68</v>
      </c>
      <c r="C11" s="206">
        <v>90</v>
      </c>
      <c r="D11" s="230">
        <v>42</v>
      </c>
      <c r="E11" s="206">
        <v>30</v>
      </c>
      <c r="F11" s="232"/>
      <c r="G11" s="490"/>
      <c r="H11" s="490"/>
    </row>
    <row r="12" spans="1:8" ht="12.75" customHeight="1" thickBot="1" x14ac:dyDescent="0.3">
      <c r="B12" s="115" t="s">
        <v>84</v>
      </c>
      <c r="C12" s="138">
        <v>6</v>
      </c>
      <c r="D12" s="138">
        <v>6</v>
      </c>
      <c r="E12" s="105">
        <v>6</v>
      </c>
      <c r="F12" s="232"/>
      <c r="G12" s="490"/>
      <c r="H12" s="490"/>
    </row>
    <row r="13" spans="1:8" ht="18.75" hidden="1" customHeight="1" x14ac:dyDescent="0.25">
      <c r="B13" s="116" t="s">
        <v>64</v>
      </c>
      <c r="C13" s="138">
        <v>6</v>
      </c>
      <c r="D13" s="138">
        <v>6</v>
      </c>
      <c r="E13" s="105">
        <v>6</v>
      </c>
      <c r="F13" s="232"/>
      <c r="G13" s="490"/>
      <c r="H13" s="490"/>
    </row>
    <row r="14" spans="1:8" ht="18.75" hidden="1" customHeight="1" thickBot="1" x14ac:dyDescent="0.3">
      <c r="B14" s="116" t="s">
        <v>65</v>
      </c>
      <c r="C14" s="138">
        <v>6</v>
      </c>
      <c r="D14" s="138">
        <v>6</v>
      </c>
      <c r="E14" s="105">
        <v>6</v>
      </c>
      <c r="F14" s="232"/>
      <c r="G14" s="490"/>
      <c r="H14" s="490"/>
    </row>
    <row r="15" spans="1:8" ht="18" customHeight="1" thickBot="1" x14ac:dyDescent="0.3">
      <c r="B15" s="52" t="s">
        <v>69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2</v>
      </c>
      <c r="F15" s="232"/>
      <c r="G15" s="490"/>
      <c r="H15" s="490"/>
    </row>
    <row r="16" spans="1:8" ht="18" customHeight="1" thickBot="1" x14ac:dyDescent="0.3">
      <c r="B16" s="139" t="s">
        <v>85</v>
      </c>
      <c r="C16" s="119">
        <f>IF(ROUNDUP((C10-(C11*C15))/C12,0)&lt;0,0,ROUNDUP((C10-(C11*C15))/C12,0))</f>
        <v>10</v>
      </c>
      <c r="D16" s="119">
        <f>IF(ROUNDUP((D10-(D11*D15))/D12,0)&lt;0,0,ROUNDUP((D10-(D11*D15))/D12,0))</f>
        <v>6</v>
      </c>
      <c r="E16" s="119">
        <f>IF(ROUNDUP((E10-(E11*E15))/E12,0)&lt;0,0,ROUNDUP((E10-(E11*E15))/E12,0))</f>
        <v>0</v>
      </c>
      <c r="F16" s="516"/>
      <c r="G16" s="516"/>
      <c r="H16" s="516"/>
    </row>
    <row r="17" spans="1:18" ht="18" customHeight="1" x14ac:dyDescent="0.25">
      <c r="B17" s="140" t="s">
        <v>66</v>
      </c>
      <c r="C17" s="123">
        <f>(C15*C11)+(ROUNDUP(C16/2,0)*C13)+(ROUNDDOWN(C16/2,0)*C14)</f>
        <v>60</v>
      </c>
      <c r="D17" s="123">
        <f>(D15*D11)+(ROUNDUP(D16/2,0)*D13)+(ROUNDDOWN(D16/2,0)*D14)</f>
        <v>78</v>
      </c>
      <c r="E17" s="123">
        <f>(E15*E11)+(ROUNDUP(E16/2,0)*E13)+(ROUNDDOWN(E16/2,0)*E14)</f>
        <v>60</v>
      </c>
      <c r="F17" s="232"/>
    </row>
    <row r="18" spans="1:18" ht="12.75" customHeight="1" x14ac:dyDescent="0.25">
      <c r="B18" s="143" t="s">
        <v>71</v>
      </c>
      <c r="C18" s="78">
        <v>2604.4</v>
      </c>
      <c r="D18" s="78">
        <v>2627.9</v>
      </c>
      <c r="E18" s="78">
        <v>2862.5</v>
      </c>
    </row>
    <row r="19" spans="1:18" ht="12.75" customHeight="1" x14ac:dyDescent="0.25">
      <c r="B19" s="217" t="s">
        <v>70</v>
      </c>
      <c r="C19" s="218">
        <v>28.9</v>
      </c>
      <c r="D19" s="218">
        <v>62.6</v>
      </c>
      <c r="E19" s="218">
        <v>95.4</v>
      </c>
    </row>
    <row r="20" spans="1:18" ht="12.75" hidden="1" customHeight="1" x14ac:dyDescent="0.25">
      <c r="B20" s="219" t="s">
        <v>72</v>
      </c>
      <c r="C20" s="78">
        <f>+C17*C9</f>
        <v>40.200000000000003</v>
      </c>
      <c r="D20" s="78">
        <f>+D17*D9</f>
        <v>104.52000000000001</v>
      </c>
      <c r="E20" s="78">
        <f>+E17*E9</f>
        <v>120</v>
      </c>
    </row>
    <row r="21" spans="1:18" ht="12.75" customHeight="1" x14ac:dyDescent="0.25">
      <c r="B21" s="24"/>
      <c r="C21" s="25"/>
      <c r="D21" s="25"/>
      <c r="E21" s="25"/>
    </row>
    <row r="22" spans="1:18" ht="12.75" customHeight="1" x14ac:dyDescent="0.25">
      <c r="B22" s="86" t="s">
        <v>89</v>
      </c>
      <c r="C22" s="25"/>
      <c r="D22" s="25"/>
      <c r="E22" s="25"/>
    </row>
    <row r="23" spans="1:18" ht="12.75" customHeight="1" x14ac:dyDescent="0.25">
      <c r="B23" s="87" t="s">
        <v>50</v>
      </c>
    </row>
    <row r="24" spans="1:18" ht="18" customHeight="1" x14ac:dyDescent="0.25">
      <c r="A24" s="419"/>
      <c r="B24" s="419"/>
      <c r="C24" s="420" t="s">
        <v>93</v>
      </c>
      <c r="D24" s="421">
        <f>SUM(C20:E20)</f>
        <v>264.72000000000003</v>
      </c>
      <c r="E24" s="422" t="s">
        <v>285</v>
      </c>
      <c r="F24" s="419"/>
      <c r="G24" s="419"/>
      <c r="H24" s="419"/>
    </row>
    <row r="25" spans="1:18" ht="18" customHeight="1" x14ac:dyDescent="0.25">
      <c r="A25" s="35"/>
      <c r="B25" s="35"/>
      <c r="C25" s="220" t="s">
        <v>12</v>
      </c>
      <c r="D25" s="70">
        <f>ROUND(+D24/35,0)</f>
        <v>8</v>
      </c>
      <c r="E25" s="226" t="s">
        <v>4</v>
      </c>
      <c r="F25" s="35"/>
      <c r="G25" s="35"/>
      <c r="H25" s="35"/>
    </row>
    <row r="26" spans="1:18" ht="12.75" customHeight="1" x14ac:dyDescent="0.25">
      <c r="A26" s="39"/>
      <c r="B26" s="487" t="s">
        <v>8</v>
      </c>
      <c r="C26" s="487"/>
      <c r="D26" s="487"/>
      <c r="E26" s="487"/>
      <c r="F26" s="487"/>
      <c r="G26" s="487"/>
      <c r="H26" s="35"/>
    </row>
    <row r="27" spans="1:18" ht="18" customHeight="1" x14ac:dyDescent="0.25">
      <c r="A27" s="419"/>
      <c r="B27" s="419"/>
      <c r="C27" s="420" t="s">
        <v>96</v>
      </c>
      <c r="D27" s="421">
        <f>SUM(C17*C19+D17*D19+E17*E19)</f>
        <v>12340.8</v>
      </c>
      <c r="E27" s="422" t="s">
        <v>3</v>
      </c>
      <c r="F27" s="419"/>
      <c r="G27" s="419"/>
      <c r="H27" s="419"/>
    </row>
    <row r="28" spans="1:18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7.399999999999999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s="17" customForma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7" customFormat="1" x14ac:dyDescent="0.25">
      <c r="A33" s="23"/>
      <c r="B33" s="23"/>
      <c r="C33" s="23"/>
      <c r="D33" s="23"/>
      <c r="E33" s="23"/>
      <c r="F33" s="23"/>
      <c r="G33" s="23"/>
      <c r="H33" s="224" t="s">
        <v>56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s="17" customFormat="1" x14ac:dyDescent="0.25">
      <c r="A34" s="23"/>
      <c r="B34" s="23"/>
      <c r="C34" s="23"/>
      <c r="D34" s="23"/>
      <c r="E34" s="23"/>
      <c r="F34" s="23"/>
      <c r="G34" s="23"/>
      <c r="H34" s="199" t="s">
        <v>55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199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59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17" customFormat="1" ht="12.75" customHeight="1" x14ac:dyDescent="0.25">
      <c r="A40" s="23"/>
      <c r="B40" s="23"/>
      <c r="C40" s="23"/>
      <c r="D40" s="23"/>
      <c r="E40" s="23"/>
      <c r="F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1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18" ht="21" customHeight="1" x14ac:dyDescent="0.25">
      <c r="A48" s="13"/>
      <c r="B48" s="11"/>
      <c r="C48" s="112"/>
      <c r="D48" s="112"/>
      <c r="E48" s="112"/>
      <c r="F48" s="112"/>
      <c r="G48" s="112"/>
      <c r="H48" s="112"/>
    </row>
  </sheetData>
  <sheetProtection algorithmName="SHA-512" hashValue="kGAwEfpfp2RThRsoIeTWJ0D3lqqzZT7krxh5526P8EzoidMCkdweeKLqyujrnxQiIQmEEkRpXjL0T/dH4x+QLg==" saltValue="V6bbqaWNSn927q1Tjp6hMw==" spinCount="100000" sheet="1" selectLockedCells="1"/>
  <mergeCells count="4">
    <mergeCell ref="A1:H1"/>
    <mergeCell ref="G10:H15"/>
    <mergeCell ref="F16:H16"/>
    <mergeCell ref="B26:G26"/>
  </mergeCells>
  <dataValidations disablePrompts="1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2600-000000000000}"/>
  </dataValidations>
  <hyperlinks>
    <hyperlink ref="H34" r:id="rId1" xr:uid="{00000000-0004-0000-2600-000001000000}"/>
    <hyperlink ref="H38" r:id="rId2" xr:uid="{00000000-0004-0000-2600-000002000000}"/>
    <hyperlink ref="H37" r:id="rId3" xr:uid="{00000000-0004-0000-2600-000003000000}"/>
    <hyperlink ref="H36" r:id="rId4" xr:uid="{00000000-0004-0000-2600-000004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8"/>
  </sheetPr>
  <dimension ref="A1:J49"/>
  <sheetViews>
    <sheetView showGridLines="0" showRowColHeaders="0"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s="314" customFormat="1" ht="24" customHeight="1" x14ac:dyDescent="0.25">
      <c r="A1" s="485" t="s">
        <v>166</v>
      </c>
      <c r="B1" s="485"/>
      <c r="C1" s="485"/>
      <c r="D1" s="485"/>
      <c r="E1" s="485"/>
      <c r="F1" s="485"/>
      <c r="G1" s="485"/>
      <c r="H1" s="485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1"/>
      <c r="C3" s="36"/>
      <c r="D3" s="94" t="s">
        <v>87</v>
      </c>
      <c r="E3" s="96">
        <v>200</v>
      </c>
      <c r="F3" s="2"/>
      <c r="G3" s="2"/>
    </row>
    <row r="4" spans="1:8" ht="18" customHeight="1" x14ac:dyDescent="0.3">
      <c r="A4" s="22"/>
      <c r="B4" s="35"/>
      <c r="C4" s="36"/>
      <c r="D4" s="95" t="s">
        <v>13</v>
      </c>
      <c r="E4" s="97">
        <v>0</v>
      </c>
      <c r="F4" s="2"/>
      <c r="G4" s="2"/>
    </row>
    <row r="5" spans="1:8" ht="18" customHeight="1" x14ac:dyDescent="0.3">
      <c r="A5" s="22"/>
      <c r="B5" s="35"/>
      <c r="C5" s="36"/>
      <c r="D5" s="95" t="s">
        <v>86</v>
      </c>
      <c r="E5" s="344">
        <f>E3+E3*E4/100</f>
        <v>200</v>
      </c>
      <c r="F5" s="2"/>
      <c r="G5" s="2"/>
    </row>
    <row r="6" spans="1:8" ht="12.75" customHeight="1" x14ac:dyDescent="0.25">
      <c r="A6" s="22"/>
      <c r="B6" s="9"/>
      <c r="C6" s="22"/>
      <c r="D6" s="22"/>
      <c r="E6" s="22"/>
      <c r="F6" s="22"/>
      <c r="G6" s="22"/>
    </row>
    <row r="7" spans="1:8" ht="18" customHeight="1" thickBot="1" x14ac:dyDescent="0.35">
      <c r="A7" s="7"/>
      <c r="B7" s="100" t="s">
        <v>0</v>
      </c>
      <c r="C7" s="101" t="s">
        <v>23</v>
      </c>
      <c r="D7" s="102" t="s">
        <v>24</v>
      </c>
      <c r="E7" s="102" t="s">
        <v>25</v>
      </c>
      <c r="F7" s="102" t="s">
        <v>26</v>
      </c>
      <c r="G7" s="4"/>
    </row>
    <row r="8" spans="1:8" ht="18" customHeight="1" thickTop="1" x14ac:dyDescent="0.25">
      <c r="A8" s="22"/>
      <c r="B8" s="103" t="s">
        <v>11</v>
      </c>
      <c r="C8" s="88">
        <v>0.2</v>
      </c>
      <c r="D8" s="89">
        <v>0.2</v>
      </c>
      <c r="E8" s="89">
        <v>0.4</v>
      </c>
      <c r="F8" s="89">
        <v>0.2</v>
      </c>
      <c r="G8" s="74">
        <f>SUM(C8,D8,E8,F8)</f>
        <v>1</v>
      </c>
    </row>
    <row r="9" spans="1:8" ht="18.75" hidden="1" customHeight="1" x14ac:dyDescent="0.25">
      <c r="A9" s="22"/>
      <c r="B9" s="51" t="s">
        <v>67</v>
      </c>
      <c r="C9" s="104">
        <v>0.48</v>
      </c>
      <c r="D9" s="105">
        <v>0.69</v>
      </c>
      <c r="E9" s="105">
        <v>0.96</v>
      </c>
      <c r="F9" s="105">
        <v>1.45</v>
      </c>
      <c r="G9" s="22"/>
    </row>
    <row r="10" spans="1:8" ht="12.75" customHeight="1" x14ac:dyDescent="0.25">
      <c r="A10" s="22"/>
      <c r="B10" s="50" t="s">
        <v>1</v>
      </c>
      <c r="C10" s="106">
        <f>+(E5*C8)/C9</f>
        <v>83.333333333333343</v>
      </c>
      <c r="D10" s="107">
        <f>+(E5*D8)/D9</f>
        <v>57.971014492753625</v>
      </c>
      <c r="E10" s="107">
        <f>+(E5*E8)/E9</f>
        <v>83.333333333333343</v>
      </c>
      <c r="F10" s="107">
        <f>+(E5*F8)/F9</f>
        <v>27.586206896551726</v>
      </c>
      <c r="G10" s="492" t="s">
        <v>90</v>
      </c>
      <c r="H10" s="490"/>
    </row>
    <row r="11" spans="1:8" ht="12.75" customHeight="1" x14ac:dyDescent="0.25">
      <c r="A11" s="22"/>
      <c r="B11" s="108" t="s">
        <v>68</v>
      </c>
      <c r="C11" s="104">
        <v>156</v>
      </c>
      <c r="D11" s="105">
        <v>95</v>
      </c>
      <c r="E11" s="105">
        <v>63</v>
      </c>
      <c r="F11" s="105">
        <v>40</v>
      </c>
      <c r="G11" s="492"/>
      <c r="H11" s="490"/>
    </row>
    <row r="12" spans="1:8" ht="12.75" customHeight="1" thickBot="1" x14ac:dyDescent="0.3">
      <c r="A12" s="22"/>
      <c r="B12" s="51" t="s">
        <v>84</v>
      </c>
      <c r="C12" s="60">
        <v>12</v>
      </c>
      <c r="D12" s="61">
        <v>10.6</v>
      </c>
      <c r="E12" s="61">
        <v>10.5</v>
      </c>
      <c r="F12" s="63">
        <v>10</v>
      </c>
      <c r="G12" s="492"/>
      <c r="H12" s="490"/>
    </row>
    <row r="13" spans="1:8" ht="18.75" hidden="1" customHeight="1" x14ac:dyDescent="0.25">
      <c r="A13" s="22"/>
      <c r="B13" s="50" t="s">
        <v>64</v>
      </c>
      <c r="C13" s="62">
        <v>12</v>
      </c>
      <c r="D13" s="63">
        <v>11</v>
      </c>
      <c r="E13" s="63">
        <v>11</v>
      </c>
      <c r="F13" s="63">
        <v>10</v>
      </c>
      <c r="G13" s="492"/>
      <c r="H13" s="490"/>
    </row>
    <row r="14" spans="1:8" ht="18.75" hidden="1" customHeight="1" thickBot="1" x14ac:dyDescent="0.3">
      <c r="A14" s="22"/>
      <c r="B14" s="50" t="s">
        <v>65</v>
      </c>
      <c r="C14" s="62">
        <v>12</v>
      </c>
      <c r="D14" s="63">
        <v>10</v>
      </c>
      <c r="E14" s="63">
        <v>10</v>
      </c>
      <c r="F14" s="63">
        <v>10</v>
      </c>
      <c r="G14" s="492"/>
      <c r="H14" s="490"/>
    </row>
    <row r="15" spans="1:8" ht="18" customHeight="1" thickBot="1" x14ac:dyDescent="0.3">
      <c r="A15" s="22"/>
      <c r="B15" s="52" t="s">
        <v>69</v>
      </c>
      <c r="C15" s="64">
        <f>IF(MOD(C10+C13,C11)&lt;=C13,1+ROUNDDOWN(C10/C11,0),ROUNDDOWN(C10/C11,0))</f>
        <v>0</v>
      </c>
      <c r="D15" s="65">
        <f>IF(MOD(D10+D13,D11)&lt;=D13,1+ROUNDDOWN(D10/D11,0),ROUNDDOWN(D10/D11,0))</f>
        <v>0</v>
      </c>
      <c r="E15" s="65">
        <f>IF(MOD(E10+E13,E11)&lt;=E13,1+ROUNDDOWN(E10/E11,0),ROUNDDOWN(E10/E11,0))</f>
        <v>1</v>
      </c>
      <c r="F15" s="65">
        <f>IF(MOD(F10+F13,F11)&lt;=F13,1+ROUNDDOWN(F10/F11,0),ROUNDDOWN(F10/F11,0))</f>
        <v>0</v>
      </c>
      <c r="G15" s="492"/>
      <c r="H15" s="490"/>
    </row>
    <row r="16" spans="1:8" ht="18" customHeight="1" thickBot="1" x14ac:dyDescent="0.3">
      <c r="A16" s="22"/>
      <c r="B16" s="52" t="s">
        <v>85</v>
      </c>
      <c r="C16" s="64">
        <f>IF(ROUNDUP((C10-(C11*C15))/C12,0)&lt;0,0,ROUNDUP((C10-(C11*C15))/C12,0))</f>
        <v>7</v>
      </c>
      <c r="D16" s="65">
        <f>IF(ROUNDUP((D10-(D11*D15))/D12,0)&lt;0,0,ROUNDUP((D10-(D11*D15))/D12,0))</f>
        <v>6</v>
      </c>
      <c r="E16" s="65">
        <f>IF(ROUNDUP((E10-(E11*E15))/E12,0)&lt;0,0,ROUNDUP((E10-(E11*E15))/E12,0))</f>
        <v>2</v>
      </c>
      <c r="F16" s="65">
        <f>IF(ROUNDUP((F10-(F11*F15))/F12,0)&lt;0,0,ROUNDUP((F10-(F11*F15))/F12,0))</f>
        <v>3</v>
      </c>
      <c r="G16" s="82"/>
      <c r="H16" s="83"/>
    </row>
    <row r="17" spans="1:10" ht="18" customHeight="1" x14ac:dyDescent="0.25">
      <c r="A17" s="22"/>
      <c r="B17" s="53" t="s">
        <v>66</v>
      </c>
      <c r="C17" s="66">
        <f>(C15*C11)+(ROUNDUP(C16/2,0)*C13)+(ROUNDDOWN(C16/2,0)*C14)</f>
        <v>84</v>
      </c>
      <c r="D17" s="67">
        <f>(D15*D11)+(ROUNDUP(D16/2,0)*D13)+(ROUNDDOWN(D16/2,0)*D14)</f>
        <v>63</v>
      </c>
      <c r="E17" s="67">
        <f>(E15*E11)+(ROUNDUP(E16/2,0)*E13)+(ROUNDDOWN(E16/2,0)*E14)</f>
        <v>84</v>
      </c>
      <c r="F17" s="67">
        <f>(F15*F11)+(ROUNDUP(F16/2,0)*F13)+(ROUNDDOWN(F16/2,0)*F14)</f>
        <v>30</v>
      </c>
      <c r="G17" s="22"/>
    </row>
    <row r="18" spans="1:10" ht="12.75" customHeight="1" x14ac:dyDescent="0.25">
      <c r="A18" s="22"/>
      <c r="B18" s="144" t="s">
        <v>71</v>
      </c>
      <c r="C18" s="25">
        <f>C11*C19</f>
        <v>2642.6400000000003</v>
      </c>
      <c r="D18" s="25">
        <f>D11*D19</f>
        <v>2517.5</v>
      </c>
      <c r="E18" s="25">
        <f>E11*E19</f>
        <v>2576.6999999999998</v>
      </c>
      <c r="F18" s="25">
        <f>F11*F19</f>
        <v>2396</v>
      </c>
      <c r="G18" s="22"/>
    </row>
    <row r="19" spans="1:10" ht="12.75" customHeight="1" x14ac:dyDescent="0.25">
      <c r="A19" s="22"/>
      <c r="B19" s="144" t="s">
        <v>70</v>
      </c>
      <c r="C19" s="33">
        <v>16.940000000000001</v>
      </c>
      <c r="D19" s="26">
        <v>26.5</v>
      </c>
      <c r="E19" s="26">
        <v>40.9</v>
      </c>
      <c r="F19" s="26">
        <v>59.9</v>
      </c>
      <c r="G19" s="22"/>
    </row>
    <row r="20" spans="1:10" ht="12.75" hidden="1" customHeight="1" x14ac:dyDescent="0.25">
      <c r="A20" s="22"/>
      <c r="B20" s="24" t="s">
        <v>72</v>
      </c>
      <c r="C20" s="25">
        <f>+C17*C9</f>
        <v>40.32</v>
      </c>
      <c r="D20" s="25">
        <f>+D17*D9</f>
        <v>43.47</v>
      </c>
      <c r="E20" s="25">
        <f>+E17*E9</f>
        <v>80.64</v>
      </c>
      <c r="F20" s="25">
        <f>+F17*F9</f>
        <v>43.5</v>
      </c>
      <c r="G20" s="22"/>
    </row>
    <row r="21" spans="1:10" ht="12.75" customHeight="1" x14ac:dyDescent="0.25">
      <c r="A21" s="22"/>
      <c r="B21" s="24"/>
      <c r="C21" s="25"/>
      <c r="D21" s="25"/>
      <c r="E21" s="25"/>
      <c r="F21" s="25"/>
      <c r="G21" s="22"/>
    </row>
    <row r="22" spans="1:10" ht="12.75" customHeight="1" x14ac:dyDescent="0.25">
      <c r="A22" s="22"/>
      <c r="B22" s="86" t="s">
        <v>89</v>
      </c>
      <c r="C22" s="25"/>
      <c r="D22" s="25"/>
      <c r="E22" s="25"/>
      <c r="F22" s="25"/>
      <c r="G22" s="22"/>
    </row>
    <row r="23" spans="1:10" ht="12.75" customHeight="1" x14ac:dyDescent="0.25">
      <c r="A23" s="22"/>
      <c r="B23" s="87" t="s">
        <v>50</v>
      </c>
      <c r="C23" s="22"/>
      <c r="D23" s="22"/>
      <c r="E23" s="22"/>
      <c r="F23" s="22"/>
      <c r="G23" s="22"/>
    </row>
    <row r="24" spans="1:10" ht="18" customHeight="1" x14ac:dyDescent="0.25">
      <c r="A24" s="34"/>
      <c r="B24" s="34"/>
      <c r="C24" s="68" t="s">
        <v>93</v>
      </c>
      <c r="D24" s="164">
        <f>SUM(C20:F20)</f>
        <v>207.93</v>
      </c>
      <c r="E24" s="72" t="s">
        <v>165</v>
      </c>
      <c r="F24" s="34"/>
      <c r="G24" s="34"/>
      <c r="H24" s="34"/>
      <c r="J24" s="22"/>
    </row>
    <row r="25" spans="1:10" ht="18" customHeight="1" x14ac:dyDescent="0.25">
      <c r="A25" s="39"/>
      <c r="B25" s="39"/>
      <c r="C25" s="69" t="s">
        <v>95</v>
      </c>
      <c r="D25" s="70">
        <f>ROUND(+D24/30,0)</f>
        <v>7</v>
      </c>
      <c r="E25" s="73" t="s">
        <v>4</v>
      </c>
      <c r="F25" s="39"/>
      <c r="G25" s="39"/>
      <c r="H25" s="35"/>
    </row>
    <row r="26" spans="1:10" ht="12.75" customHeight="1" x14ac:dyDescent="0.25">
      <c r="A26" s="39"/>
      <c r="B26" s="487" t="s">
        <v>8</v>
      </c>
      <c r="C26" s="487"/>
      <c r="D26" s="487"/>
      <c r="E26" s="487"/>
      <c r="F26" s="487"/>
      <c r="G26" s="487"/>
      <c r="H26" s="35"/>
    </row>
    <row r="27" spans="1:10" ht="18" customHeight="1" x14ac:dyDescent="0.25">
      <c r="A27" s="34"/>
      <c r="B27" s="34"/>
      <c r="C27" s="68" t="s">
        <v>96</v>
      </c>
      <c r="D27" s="164">
        <f>SUM(C17*C19+D17*D19+E17*E19+F17*F19)</f>
        <v>8325.06</v>
      </c>
      <c r="E27" s="72" t="s">
        <v>3</v>
      </c>
      <c r="F27" s="34"/>
      <c r="G27" s="34"/>
      <c r="H27" s="34"/>
    </row>
    <row r="28" spans="1:10" s="11" customFormat="1" ht="12.75" customHeight="1" x14ac:dyDescent="0.25">
      <c r="A28" s="13"/>
      <c r="B28" s="13"/>
      <c r="C28" s="13"/>
      <c r="D28" s="13"/>
      <c r="E28" s="13"/>
      <c r="F28" s="13"/>
      <c r="G28" s="13"/>
    </row>
    <row r="29" spans="1:10" s="11" customFormat="1" ht="12.75" customHeight="1" x14ac:dyDescent="0.25">
      <c r="A29" s="13"/>
      <c r="B29" s="13"/>
      <c r="C29" s="13"/>
      <c r="D29" s="13"/>
    </row>
    <row r="30" spans="1:10" s="11" customFormat="1" ht="12.75" customHeight="1" x14ac:dyDescent="0.25">
      <c r="A30" s="13"/>
      <c r="B30" s="13"/>
      <c r="C30" s="13"/>
      <c r="D30" s="13"/>
      <c r="E30" s="13"/>
    </row>
    <row r="31" spans="1:10" s="11" customFormat="1" ht="18" customHeight="1" x14ac:dyDescent="0.25">
      <c r="A31" s="13"/>
      <c r="B31" s="13"/>
      <c r="C31" s="13"/>
      <c r="D31" s="13"/>
      <c r="E31" s="13"/>
      <c r="H31" s="223" t="s">
        <v>9</v>
      </c>
    </row>
    <row r="32" spans="1:10" s="11" customFormat="1" ht="12.75" customHeight="1" x14ac:dyDescent="0.25">
      <c r="A32" s="13"/>
      <c r="B32" s="13"/>
      <c r="C32" s="13"/>
      <c r="D32" s="13"/>
      <c r="E32" s="13"/>
      <c r="G32" s="13"/>
    </row>
    <row r="33" spans="1:8" s="11" customFormat="1" ht="12.75" customHeight="1" x14ac:dyDescent="0.25">
      <c r="A33" s="13"/>
      <c r="B33" s="13"/>
      <c r="C33" s="13"/>
      <c r="D33" s="13"/>
      <c r="E33" s="13"/>
      <c r="G33" s="13"/>
      <c r="H33" s="224" t="s">
        <v>56</v>
      </c>
    </row>
    <row r="34" spans="1:8" s="11" customFormat="1" ht="12.75" customHeight="1" x14ac:dyDescent="0.25">
      <c r="A34" s="13"/>
      <c r="B34" s="13"/>
      <c r="C34" s="13"/>
      <c r="D34" s="13"/>
      <c r="E34" s="13"/>
      <c r="G34" s="13"/>
      <c r="H34" s="199" t="s">
        <v>55</v>
      </c>
    </row>
    <row r="35" spans="1:8" s="11" customFormat="1" ht="12.75" customHeight="1" x14ac:dyDescent="0.25">
      <c r="A35" s="13"/>
      <c r="B35" s="13"/>
      <c r="C35" s="13"/>
      <c r="D35" s="13"/>
      <c r="E35" s="13"/>
      <c r="G35" s="13"/>
      <c r="H35" s="268"/>
    </row>
    <row r="36" spans="1:8" s="11" customFormat="1" ht="12.75" customHeight="1" x14ac:dyDescent="0.25">
      <c r="A36" s="13"/>
      <c r="B36" s="13"/>
      <c r="C36" s="13"/>
      <c r="D36" s="13"/>
      <c r="E36" s="13"/>
      <c r="G36" s="13"/>
      <c r="H36" s="199" t="s">
        <v>6</v>
      </c>
    </row>
    <row r="37" spans="1:8" s="11" customFormat="1" ht="12.75" customHeight="1" x14ac:dyDescent="0.25">
      <c r="A37" s="13"/>
      <c r="B37" s="13"/>
      <c r="C37" s="13"/>
      <c r="D37" s="13"/>
      <c r="E37" s="13"/>
      <c r="G37" s="13"/>
      <c r="H37" s="199" t="s">
        <v>59</v>
      </c>
    </row>
    <row r="38" spans="1:8" s="11" customFormat="1" ht="12.75" customHeight="1" x14ac:dyDescent="0.25">
      <c r="A38" s="13"/>
      <c r="B38" s="13"/>
      <c r="C38" s="13"/>
      <c r="D38" s="13"/>
      <c r="E38" s="13"/>
      <c r="F38" s="18"/>
      <c r="G38" s="13"/>
      <c r="H38" s="199" t="s">
        <v>10</v>
      </c>
    </row>
    <row r="39" spans="1:8" s="11" customFormat="1" ht="12.75" customHeight="1" x14ac:dyDescent="0.25">
      <c r="A39" s="13"/>
      <c r="B39" s="13"/>
      <c r="C39" s="13"/>
      <c r="D39" s="13"/>
      <c r="E39" s="13"/>
      <c r="F39" s="18"/>
      <c r="G39" s="13"/>
      <c r="H39" s="270" t="s">
        <v>7</v>
      </c>
    </row>
    <row r="40" spans="1:8" s="11" customFormat="1" ht="12.75" customHeight="1" x14ac:dyDescent="0.25">
      <c r="A40" s="13"/>
      <c r="B40" s="13"/>
      <c r="C40" s="13"/>
      <c r="D40" s="13"/>
      <c r="E40" s="13"/>
      <c r="F40" s="18"/>
      <c r="G40" s="13"/>
    </row>
    <row r="41" spans="1:8" s="11" customFormat="1" ht="12.75" customHeight="1" x14ac:dyDescent="0.25">
      <c r="A41" s="13"/>
      <c r="B41" s="13"/>
      <c r="C41" s="13"/>
      <c r="D41" s="13"/>
      <c r="E41" s="13"/>
      <c r="F41" s="18"/>
      <c r="G41" s="13"/>
    </row>
    <row r="42" spans="1:8" s="11" customFormat="1" ht="12.75" customHeight="1" x14ac:dyDescent="0.25">
      <c r="A42" s="13"/>
      <c r="B42" s="13"/>
      <c r="C42" s="13"/>
      <c r="D42" s="13"/>
      <c r="E42" s="13"/>
      <c r="F42" s="18"/>
      <c r="G42" s="13"/>
    </row>
    <row r="43" spans="1:8" s="11" customFormat="1" ht="12.75" customHeight="1" x14ac:dyDescent="0.25">
      <c r="A43" s="13"/>
      <c r="B43" s="13"/>
      <c r="C43" s="13"/>
      <c r="D43" s="13"/>
      <c r="E43" s="13"/>
      <c r="F43" s="18"/>
      <c r="G43" s="13"/>
    </row>
    <row r="44" spans="1:8" s="11" customFormat="1" ht="12.75" customHeight="1" x14ac:dyDescent="0.25">
      <c r="A44" s="13"/>
      <c r="B44" s="13"/>
      <c r="C44" s="13"/>
      <c r="D44" s="13"/>
      <c r="E44" s="13"/>
      <c r="F44" s="18"/>
      <c r="G44" s="13"/>
    </row>
    <row r="45" spans="1:8" s="11" customFormat="1" ht="12.75" customHeight="1" x14ac:dyDescent="0.25">
      <c r="A45" s="13"/>
      <c r="B45" s="13"/>
      <c r="C45" s="13"/>
      <c r="D45" s="13"/>
      <c r="E45" s="13"/>
      <c r="F45" s="18"/>
      <c r="G45" s="13"/>
    </row>
    <row r="46" spans="1: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8" ht="21" customHeight="1" x14ac:dyDescent="0.25">
      <c r="A48" s="13"/>
      <c r="B48" s="11"/>
      <c r="C48" s="112"/>
      <c r="D48" s="112"/>
      <c r="E48" s="112"/>
      <c r="F48" s="112"/>
      <c r="G48" s="112"/>
      <c r="H48" s="112"/>
    </row>
    <row r="49" spans="1:7" x14ac:dyDescent="0.25">
      <c r="A49" s="22"/>
      <c r="G49" s="8"/>
    </row>
  </sheetData>
  <sheetProtection algorithmName="SHA-512" hashValue="CJnKzZ8Nu67FNjJ2uTX9uFqM4Rk4OR0iLcjkMZ1tjBYF6ySe/qRP5BZBM9UidBxCwuPZN25SNJStpCeF7pN89w==" saltValue="hIzIz3NATFDsmFe9uFj6nQ==" spinCount="100000" sheet="1" selectLockedCells="1"/>
  <mergeCells count="3">
    <mergeCell ref="A1:H1"/>
    <mergeCell ref="B26:G26"/>
    <mergeCell ref="G10:H15"/>
  </mergeCells>
  <phoneticPr fontId="0" type="noConversion"/>
  <dataValidations count="1"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 " sqref="E4" xr:uid="{00000000-0002-0000-0300-000000000000}">
      <formula1>5</formula1>
      <formula2>100</formula2>
    </dataValidation>
  </dataValidations>
  <hyperlinks>
    <hyperlink ref="H38" r:id="rId1" xr:uid="{00000000-0004-0000-0300-000000000000}"/>
    <hyperlink ref="H37" r:id="rId2" xr:uid="{00000000-0004-0000-0300-000001000000}"/>
    <hyperlink ref="H36" r:id="rId3" xr:uid="{00000000-0004-0000-0300-000002000000}"/>
    <hyperlink ref="H34" r:id="rId4" xr:uid="{00000000-0004-0000-03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2">
    <tabColor theme="3"/>
  </sheetPr>
  <dimension ref="A1:R48"/>
  <sheetViews>
    <sheetView showGridLines="0" showRowColHeaders="0" zoomScaleNormal="100" workbookViewId="0">
      <selection activeCell="C8" sqref="C8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49" t="s">
        <v>277</v>
      </c>
      <c r="B1" s="549"/>
      <c r="C1" s="549"/>
      <c r="D1" s="549"/>
      <c r="E1" s="549"/>
      <c r="F1" s="549"/>
      <c r="G1" s="549"/>
      <c r="H1" s="549"/>
    </row>
    <row r="2" spans="1:8" ht="12.75" customHeight="1" x14ac:dyDescent="0.25"/>
    <row r="3" spans="1:8" ht="18" customHeight="1" x14ac:dyDescent="0.3">
      <c r="B3" s="41"/>
      <c r="C3" s="36"/>
      <c r="D3" s="94" t="s">
        <v>87</v>
      </c>
      <c r="E3" s="96">
        <v>200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86</v>
      </c>
      <c r="E5" s="344">
        <f>E3+E3*E4/100</f>
        <v>200</v>
      </c>
      <c r="F5" s="3"/>
      <c r="G5" s="3"/>
      <c r="H5" s="3"/>
    </row>
    <row r="6" spans="1:8" ht="12.75" customHeight="1" x14ac:dyDescent="0.25">
      <c r="B6" s="12"/>
      <c r="C6" s="200"/>
      <c r="D6" s="200"/>
      <c r="E6" s="200"/>
    </row>
    <row r="7" spans="1:8" ht="18" customHeight="1" thickBot="1" x14ac:dyDescent="0.35">
      <c r="B7" s="201" t="s">
        <v>0</v>
      </c>
      <c r="C7" s="202" t="s">
        <v>274</v>
      </c>
      <c r="D7" s="227" t="s">
        <v>275</v>
      </c>
      <c r="E7" s="228" t="s">
        <v>276</v>
      </c>
      <c r="F7" s="229"/>
      <c r="G7" s="1"/>
      <c r="H7" s="1"/>
    </row>
    <row r="8" spans="1:8" ht="18" customHeight="1" thickTop="1" x14ac:dyDescent="0.3">
      <c r="B8" s="204" t="s">
        <v>11</v>
      </c>
      <c r="C8" s="153">
        <v>0.17</v>
      </c>
      <c r="D8" s="154">
        <v>0.33</v>
      </c>
      <c r="E8" s="153">
        <v>0.5</v>
      </c>
      <c r="F8" s="74">
        <f>SUM(B8,C8,D8,E8)</f>
        <v>1</v>
      </c>
      <c r="G8" s="1"/>
      <c r="H8" s="1"/>
    </row>
    <row r="9" spans="1:8" ht="18.75" hidden="1" customHeight="1" x14ac:dyDescent="0.25">
      <c r="B9" s="205" t="s">
        <v>67</v>
      </c>
      <c r="C9" s="206">
        <v>0.67</v>
      </c>
      <c r="D9" s="230">
        <v>1.34</v>
      </c>
      <c r="E9" s="206">
        <v>2</v>
      </c>
      <c r="F9" s="203"/>
    </row>
    <row r="10" spans="1:8" ht="12.75" customHeight="1" x14ac:dyDescent="0.25">
      <c r="B10" s="207" t="s">
        <v>1</v>
      </c>
      <c r="C10" s="208">
        <f>+(E5*C8)/C9</f>
        <v>50.746268656716417</v>
      </c>
      <c r="D10" s="231">
        <f>+(E5*D8)/D9</f>
        <v>49.253731343283576</v>
      </c>
      <c r="E10" s="208">
        <f>+(E5*E8)/E9</f>
        <v>50</v>
      </c>
      <c r="F10" s="203"/>
      <c r="G10" s="490" t="s">
        <v>259</v>
      </c>
      <c r="H10" s="490"/>
    </row>
    <row r="11" spans="1:8" ht="12.75" customHeight="1" x14ac:dyDescent="0.25">
      <c r="B11" s="209" t="s">
        <v>68</v>
      </c>
      <c r="C11" s="206">
        <v>90</v>
      </c>
      <c r="D11" s="230">
        <v>42</v>
      </c>
      <c r="E11" s="206">
        <v>30</v>
      </c>
      <c r="F11" s="232"/>
      <c r="G11" s="490"/>
      <c r="H11" s="490"/>
    </row>
    <row r="12" spans="1:8" ht="12.75" customHeight="1" thickBot="1" x14ac:dyDescent="0.3">
      <c r="B12" s="115" t="s">
        <v>84</v>
      </c>
      <c r="C12" s="138">
        <v>6</v>
      </c>
      <c r="D12" s="138">
        <v>6</v>
      </c>
      <c r="E12" s="105">
        <v>6</v>
      </c>
      <c r="F12" s="232"/>
      <c r="G12" s="490"/>
      <c r="H12" s="490"/>
    </row>
    <row r="13" spans="1:8" ht="18.75" hidden="1" customHeight="1" x14ac:dyDescent="0.25">
      <c r="B13" s="116" t="s">
        <v>64</v>
      </c>
      <c r="C13" s="138">
        <v>6</v>
      </c>
      <c r="D13" s="138">
        <v>6</v>
      </c>
      <c r="E13" s="105">
        <v>6</v>
      </c>
      <c r="F13" s="232"/>
      <c r="G13" s="490"/>
      <c r="H13" s="490"/>
    </row>
    <row r="14" spans="1:8" ht="18.75" hidden="1" customHeight="1" thickBot="1" x14ac:dyDescent="0.3">
      <c r="B14" s="116" t="s">
        <v>65</v>
      </c>
      <c r="C14" s="138">
        <v>6</v>
      </c>
      <c r="D14" s="138">
        <v>6</v>
      </c>
      <c r="E14" s="105">
        <v>6</v>
      </c>
      <c r="F14" s="232"/>
      <c r="G14" s="490"/>
      <c r="H14" s="490"/>
    </row>
    <row r="15" spans="1:8" ht="18" customHeight="1" thickBot="1" x14ac:dyDescent="0.3">
      <c r="B15" s="52" t="s">
        <v>69</v>
      </c>
      <c r="C15" s="119">
        <f>IF(MOD(C10+C13,C11)&lt;=C13,1+ROUNDDOWN(C10/C11,0),ROUNDDOWN(C10/C11,0))</f>
        <v>0</v>
      </c>
      <c r="D15" s="65">
        <f>IF(MOD(D10+D13,D11)&lt;=D13,1+ROUNDDOWN(D10/D11,0),ROUNDDOWN(D10/D11,0))</f>
        <v>1</v>
      </c>
      <c r="E15" s="65">
        <f>IF(MOD(E10+E13,E11)&lt;=E13,1+ROUNDDOWN(E10/E11,0),ROUNDDOWN(E10/E11,0))</f>
        <v>1</v>
      </c>
      <c r="F15" s="232"/>
      <c r="G15" s="490"/>
      <c r="H15" s="490"/>
    </row>
    <row r="16" spans="1:8" ht="18" customHeight="1" thickBot="1" x14ac:dyDescent="0.3">
      <c r="B16" s="139" t="s">
        <v>85</v>
      </c>
      <c r="C16" s="119">
        <f>IF(ROUNDUP((C10-(C11*C15))/C12,0)&lt;0,0,ROUNDUP((C10-(C11*C15))/C12,0))</f>
        <v>9</v>
      </c>
      <c r="D16" s="119">
        <f>IF(ROUNDUP((D10-(D11*D15))/D12,0)&lt;0,0,ROUNDUP((D10-(D11*D15))/D12,0))</f>
        <v>2</v>
      </c>
      <c r="E16" s="119">
        <f>IF(ROUNDUP((E10-(E11*E15))/E12,0)&lt;0,0,ROUNDUP((E10-(E11*E15))/E12,0))</f>
        <v>4</v>
      </c>
      <c r="F16" s="516"/>
      <c r="G16" s="516"/>
      <c r="H16" s="516"/>
    </row>
    <row r="17" spans="1:18" ht="18" customHeight="1" x14ac:dyDescent="0.25">
      <c r="B17" s="140" t="s">
        <v>66</v>
      </c>
      <c r="C17" s="123">
        <f>(C15*C11)+(ROUNDUP(C16/2,0)*C13)+(ROUNDDOWN(C16/2,0)*C14)</f>
        <v>54</v>
      </c>
      <c r="D17" s="123">
        <f>(D15*D11)+(ROUNDUP(D16/2,0)*D13)+(ROUNDDOWN(D16/2,0)*D14)</f>
        <v>54</v>
      </c>
      <c r="E17" s="123">
        <f>(E15*E11)+(ROUNDUP(E16/2,0)*E13)+(ROUNDDOWN(E16/2,0)*E14)</f>
        <v>54</v>
      </c>
      <c r="F17" s="232"/>
    </row>
    <row r="18" spans="1:18" ht="12.75" customHeight="1" x14ac:dyDescent="0.25">
      <c r="B18" s="143" t="s">
        <v>71</v>
      </c>
      <c r="C18" s="78">
        <v>2604.4</v>
      </c>
      <c r="D18" s="78">
        <v>2627.9</v>
      </c>
      <c r="E18" s="78">
        <v>2862.5</v>
      </c>
    </row>
    <row r="19" spans="1:18" ht="12.75" customHeight="1" x14ac:dyDescent="0.25">
      <c r="B19" s="217" t="s">
        <v>70</v>
      </c>
      <c r="C19" s="218">
        <v>28.9</v>
      </c>
      <c r="D19" s="218">
        <v>62.6</v>
      </c>
      <c r="E19" s="218">
        <v>95.4</v>
      </c>
    </row>
    <row r="20" spans="1:18" ht="12.75" hidden="1" customHeight="1" x14ac:dyDescent="0.25">
      <c r="B20" s="219" t="s">
        <v>72</v>
      </c>
      <c r="C20" s="78">
        <f>+C17*C9</f>
        <v>36.18</v>
      </c>
      <c r="D20" s="78">
        <f>+D17*D9</f>
        <v>72.36</v>
      </c>
      <c r="E20" s="78">
        <f>+E17*E9</f>
        <v>108</v>
      </c>
    </row>
    <row r="21" spans="1:18" ht="12.75" customHeight="1" x14ac:dyDescent="0.25">
      <c r="B21" s="24"/>
      <c r="C21" s="25"/>
      <c r="D21" s="25"/>
      <c r="E21" s="25"/>
    </row>
    <row r="22" spans="1:18" ht="12.75" customHeight="1" x14ac:dyDescent="0.25">
      <c r="B22" s="86" t="s">
        <v>89</v>
      </c>
      <c r="C22" s="25"/>
      <c r="D22" s="25"/>
      <c r="E22" s="25"/>
    </row>
    <row r="23" spans="1:18" ht="12.75" customHeight="1" x14ac:dyDescent="0.25">
      <c r="B23" s="87" t="s">
        <v>50</v>
      </c>
    </row>
    <row r="24" spans="1:18" ht="18" customHeight="1" x14ac:dyDescent="0.25">
      <c r="A24" s="419"/>
      <c r="B24" s="419"/>
      <c r="C24" s="420" t="s">
        <v>93</v>
      </c>
      <c r="D24" s="421">
        <f>SUM(C20:E20)</f>
        <v>216.54</v>
      </c>
      <c r="E24" s="422" t="s">
        <v>285</v>
      </c>
      <c r="F24" s="419"/>
      <c r="G24" s="419"/>
      <c r="H24" s="419"/>
    </row>
    <row r="25" spans="1:18" ht="18" customHeight="1" x14ac:dyDescent="0.25">
      <c r="A25" s="35"/>
      <c r="B25" s="35"/>
      <c r="C25" s="220" t="s">
        <v>12</v>
      </c>
      <c r="D25" s="70">
        <f>ROUND(+D24/35,0)</f>
        <v>6</v>
      </c>
      <c r="E25" s="226" t="s">
        <v>4</v>
      </c>
      <c r="F25" s="35"/>
      <c r="G25" s="35"/>
      <c r="H25" s="35"/>
    </row>
    <row r="26" spans="1:18" ht="12.75" customHeight="1" x14ac:dyDescent="0.25">
      <c r="A26" s="39"/>
      <c r="B26" s="487" t="s">
        <v>8</v>
      </c>
      <c r="C26" s="487"/>
      <c r="D26" s="487"/>
      <c r="E26" s="487"/>
      <c r="F26" s="487"/>
      <c r="G26" s="487"/>
      <c r="H26" s="35"/>
    </row>
    <row r="27" spans="1:18" ht="18" customHeight="1" x14ac:dyDescent="0.25">
      <c r="A27" s="419"/>
      <c r="B27" s="419"/>
      <c r="C27" s="420" t="s">
        <v>96</v>
      </c>
      <c r="D27" s="421">
        <f>SUM(C17*C19+D17*D19+E17*E19)</f>
        <v>10092.6</v>
      </c>
      <c r="E27" s="422" t="s">
        <v>3</v>
      </c>
      <c r="F27" s="419"/>
      <c r="G27" s="419"/>
      <c r="H27" s="419"/>
    </row>
    <row r="28" spans="1:18" s="17" customForma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17" customForma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17" customForma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7.399999999999999" x14ac:dyDescent="0.25">
      <c r="A31" s="23"/>
      <c r="B31" s="23"/>
      <c r="C31" s="23"/>
      <c r="D31" s="23"/>
      <c r="E31" s="23"/>
      <c r="F31" s="23"/>
      <c r="G31" s="23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s="17" customFormat="1" x14ac:dyDescent="0.25">
      <c r="A32" s="23"/>
      <c r="B32" s="23"/>
      <c r="C32" s="23"/>
      <c r="D32" s="23"/>
      <c r="E32" s="23"/>
      <c r="F32" s="23"/>
      <c r="G32" s="2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7" customFormat="1" x14ac:dyDescent="0.25">
      <c r="A33" s="23"/>
      <c r="B33" s="23"/>
      <c r="C33" s="23"/>
      <c r="D33" s="23"/>
      <c r="E33" s="23"/>
      <c r="F33" s="23"/>
      <c r="G33" s="23"/>
      <c r="H33" s="224" t="s">
        <v>56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s="17" customFormat="1" x14ac:dyDescent="0.25">
      <c r="A34" s="23"/>
      <c r="B34" s="23"/>
      <c r="C34" s="23"/>
      <c r="D34" s="23"/>
      <c r="E34" s="23"/>
      <c r="F34" s="23"/>
      <c r="G34" s="23"/>
      <c r="H34" s="199" t="s">
        <v>55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199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199" t="s">
        <v>59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25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17" customFormat="1" ht="12.75" customHeight="1" x14ac:dyDescent="0.25">
      <c r="A40" s="23"/>
      <c r="B40" s="23"/>
      <c r="C40" s="23"/>
      <c r="D40" s="23"/>
      <c r="E40" s="23"/>
      <c r="F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1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18" ht="21" customHeight="1" x14ac:dyDescent="0.25">
      <c r="A48" s="13"/>
      <c r="B48" s="11"/>
      <c r="C48" s="112"/>
      <c r="D48" s="112"/>
      <c r="E48" s="112"/>
      <c r="F48" s="112"/>
      <c r="G48" s="112"/>
      <c r="H48" s="112"/>
    </row>
  </sheetData>
  <sheetProtection algorithmName="SHA-512" hashValue="9D/1QHFqKtbtSXBAp5925+cKk20t4tCxRGrr2nmNYoOh+RADrpWN4opqpSDJKzfh/lnLowybs7buDy3C/QiR4w==" saltValue="uCG9fPYxoiDcjiaWevxMpQ==" spinCount="100000" sheet="1" selectLockedCells="1"/>
  <mergeCells count="4">
    <mergeCell ref="A1:H1"/>
    <mergeCell ref="G10:H15"/>
    <mergeCell ref="F16:H16"/>
    <mergeCell ref="B26:G26"/>
  </mergeCells>
  <dataValidations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2700-000000000000}"/>
  </dataValidations>
  <hyperlinks>
    <hyperlink ref="H34" r:id="rId1" xr:uid="{00000000-0004-0000-2700-000001000000}"/>
    <hyperlink ref="H38" r:id="rId2" xr:uid="{00000000-0004-0000-2700-000002000000}"/>
    <hyperlink ref="H37" r:id="rId3" xr:uid="{00000000-0004-0000-2700-000003000000}"/>
    <hyperlink ref="H36" r:id="rId4" xr:uid="{00000000-0004-0000-2700-000004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B56E-883F-442F-82E2-4D3E2A2BE095}">
  <sheetPr>
    <tabColor rgb="FFFFC000"/>
  </sheetPr>
  <dimension ref="A1:CC54"/>
  <sheetViews>
    <sheetView showGridLines="0" showRowColHeaders="0" zoomScaleNormal="100" workbookViewId="0">
      <selection activeCell="E3" sqref="E3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47" width="9.109375" style="23"/>
    <col min="48" max="48" width="9.109375" style="23" customWidth="1"/>
    <col min="49" max="16384" width="9.109375" style="23"/>
  </cols>
  <sheetData>
    <row r="1" spans="1:8" ht="24" customHeight="1" x14ac:dyDescent="0.25">
      <c r="A1" s="550" t="s">
        <v>294</v>
      </c>
      <c r="B1" s="550"/>
      <c r="C1" s="550"/>
      <c r="D1" s="550"/>
      <c r="E1" s="550"/>
      <c r="F1" s="550"/>
      <c r="G1" s="550"/>
      <c r="H1" s="550"/>
    </row>
    <row r="2" spans="1:8" ht="12.75" customHeight="1" x14ac:dyDescent="0.25"/>
    <row r="3" spans="1:8" ht="18" customHeight="1" x14ac:dyDescent="0.3">
      <c r="B3" s="41"/>
      <c r="C3" s="36"/>
      <c r="D3" s="94" t="s">
        <v>87</v>
      </c>
      <c r="E3" s="96">
        <v>200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86</v>
      </c>
      <c r="E5" s="344">
        <f>E3+E3*E4/100</f>
        <v>200</v>
      </c>
      <c r="F5" s="3"/>
      <c r="G5" s="3"/>
      <c r="H5" s="3"/>
    </row>
    <row r="6" spans="1:8" ht="12.75" customHeight="1" x14ac:dyDescent="0.25">
      <c r="B6" s="20"/>
      <c r="C6" s="200"/>
      <c r="D6" s="22"/>
      <c r="E6" s="22"/>
    </row>
    <row r="7" spans="1:8" ht="18" customHeight="1" thickBot="1" x14ac:dyDescent="0.35">
      <c r="B7" s="201" t="s">
        <v>0</v>
      </c>
      <c r="C7" s="202" t="s">
        <v>79</v>
      </c>
      <c r="D7" s="203"/>
      <c r="E7" s="22"/>
      <c r="F7" s="3"/>
      <c r="G7" s="3"/>
      <c r="H7" s="3"/>
    </row>
    <row r="8" spans="1:8" ht="18" customHeight="1" thickTop="1" x14ac:dyDescent="0.3">
      <c r="B8" s="204" t="s">
        <v>11</v>
      </c>
      <c r="C8" s="153">
        <v>1</v>
      </c>
      <c r="D8" s="74">
        <f>SUM(C8)</f>
        <v>1</v>
      </c>
      <c r="F8" s="10"/>
      <c r="G8" s="3"/>
      <c r="H8" s="3"/>
    </row>
    <row r="9" spans="1:8" ht="18.75" hidden="1" customHeight="1" x14ac:dyDescent="0.25">
      <c r="B9" s="205" t="s">
        <v>67</v>
      </c>
      <c r="C9" s="206">
        <v>0.45829999999999999</v>
      </c>
      <c r="D9" s="203"/>
    </row>
    <row r="10" spans="1:8" ht="12.75" customHeight="1" x14ac:dyDescent="0.25">
      <c r="B10" s="207" t="s">
        <v>1</v>
      </c>
      <c r="C10" s="208">
        <f>+(E5*C8)/C9</f>
        <v>436.39537420903338</v>
      </c>
      <c r="D10" s="203"/>
      <c r="G10" s="490" t="s">
        <v>189</v>
      </c>
      <c r="H10" s="490"/>
    </row>
    <row r="11" spans="1:8" ht="12.75" customHeight="1" x14ac:dyDescent="0.3">
      <c r="B11" s="209" t="s">
        <v>68</v>
      </c>
      <c r="C11" s="206">
        <v>156</v>
      </c>
      <c r="D11" s="203"/>
      <c r="F11" s="210"/>
      <c r="G11" s="490"/>
      <c r="H11" s="490"/>
    </row>
    <row r="12" spans="1:8" ht="12.75" customHeight="1" thickBot="1" x14ac:dyDescent="0.35">
      <c r="B12" s="115" t="s">
        <v>84</v>
      </c>
      <c r="C12" s="138">
        <v>12</v>
      </c>
      <c r="D12" s="203"/>
      <c r="F12" s="210"/>
      <c r="G12" s="490"/>
      <c r="H12" s="490"/>
    </row>
    <row r="13" spans="1:8" ht="18.75" hidden="1" customHeight="1" x14ac:dyDescent="0.25">
      <c r="B13" s="116" t="s">
        <v>64</v>
      </c>
      <c r="C13" s="138">
        <v>12</v>
      </c>
      <c r="D13" s="211"/>
      <c r="E13" s="212"/>
      <c r="G13" s="490"/>
      <c r="H13" s="490"/>
    </row>
    <row r="14" spans="1:8" ht="18.75" hidden="1" customHeight="1" thickBot="1" x14ac:dyDescent="0.3">
      <c r="B14" s="116" t="s">
        <v>65</v>
      </c>
      <c r="C14" s="138">
        <v>12</v>
      </c>
      <c r="D14" s="213"/>
      <c r="E14" s="214"/>
      <c r="G14" s="490"/>
      <c r="H14" s="490"/>
    </row>
    <row r="15" spans="1:8" ht="18" customHeight="1" thickBot="1" x14ac:dyDescent="0.3">
      <c r="B15" s="52" t="s">
        <v>69</v>
      </c>
      <c r="C15" s="119">
        <f>IF(MOD(C10+C13,C11)&lt;=C13,1+ROUNDDOWN(C10/C11,0),ROUNDDOWN(C10/C11,0))</f>
        <v>2</v>
      </c>
      <c r="D15" s="215"/>
      <c r="E15" s="216"/>
      <c r="G15" s="490"/>
      <c r="H15" s="490"/>
    </row>
    <row r="16" spans="1:8" ht="18" customHeight="1" thickBot="1" x14ac:dyDescent="0.3">
      <c r="B16" s="139" t="s">
        <v>85</v>
      </c>
      <c r="C16" s="119">
        <f>IF(ROUNDUP((C10-(C11*C15))/C12,0)&lt;0,0,ROUNDUP((C10-(C11*C15))/C12,0))</f>
        <v>11</v>
      </c>
      <c r="D16" s="215"/>
      <c r="E16" s="216"/>
    </row>
    <row r="17" spans="1:81" ht="18" customHeight="1" x14ac:dyDescent="0.25">
      <c r="B17" s="140" t="s">
        <v>66</v>
      </c>
      <c r="C17" s="141">
        <f>(C15*C11)+(ROUNDUP(C16/2,0)*C13)+(ROUNDDOWN(C16/2,0)*C14)</f>
        <v>444</v>
      </c>
      <c r="D17" s="215"/>
      <c r="E17" s="216"/>
    </row>
    <row r="18" spans="1:81" ht="12.75" customHeight="1" x14ac:dyDescent="0.25">
      <c r="B18" s="143" t="s">
        <v>71</v>
      </c>
      <c r="C18" s="78">
        <v>2821</v>
      </c>
      <c r="D18" s="215"/>
      <c r="E18" s="216"/>
    </row>
    <row r="19" spans="1:81" ht="12.75" customHeight="1" x14ac:dyDescent="0.25">
      <c r="B19" s="217" t="s">
        <v>70</v>
      </c>
      <c r="C19" s="218">
        <v>18.079999999999998</v>
      </c>
      <c r="D19" s="215"/>
      <c r="E19" s="216"/>
    </row>
    <row r="20" spans="1:81" ht="12.75" hidden="1" customHeight="1" x14ac:dyDescent="0.25">
      <c r="B20" s="219" t="s">
        <v>72</v>
      </c>
      <c r="C20" s="78">
        <f>+C17*C9</f>
        <v>203.48519999999999</v>
      </c>
      <c r="D20" s="215"/>
      <c r="E20" s="216"/>
    </row>
    <row r="21" spans="1:81" ht="12.75" customHeight="1" x14ac:dyDescent="0.25">
      <c r="B21" s="203"/>
      <c r="C21" s="203"/>
      <c r="D21" s="203"/>
    </row>
    <row r="22" spans="1:81" ht="18" customHeight="1" x14ac:dyDescent="0.25">
      <c r="A22" s="415"/>
      <c r="B22" s="415"/>
      <c r="C22" s="416" t="s">
        <v>93</v>
      </c>
      <c r="D22" s="417">
        <f>SUM(C20)</f>
        <v>203.48519999999999</v>
      </c>
      <c r="E22" s="418" t="s">
        <v>295</v>
      </c>
      <c r="F22" s="415"/>
      <c r="G22" s="415"/>
      <c r="H22" s="415"/>
    </row>
    <row r="23" spans="1:81" ht="18" customHeight="1" x14ac:dyDescent="0.25">
      <c r="A23" s="35"/>
      <c r="B23" s="35"/>
      <c r="C23" s="220" t="s">
        <v>95</v>
      </c>
      <c r="D23" s="221">
        <f>ROUND(+D22/30,0)</f>
        <v>7</v>
      </c>
      <c r="E23" s="226" t="s">
        <v>4</v>
      </c>
      <c r="F23" s="35"/>
      <c r="G23" s="35"/>
      <c r="H23" s="35"/>
    </row>
    <row r="24" spans="1:81" ht="12.75" customHeight="1" x14ac:dyDescent="0.25">
      <c r="A24" s="39"/>
      <c r="B24" s="487" t="s">
        <v>8</v>
      </c>
      <c r="C24" s="487"/>
      <c r="D24" s="487"/>
      <c r="E24" s="487"/>
      <c r="F24" s="487"/>
      <c r="G24" s="487"/>
      <c r="H24" s="35"/>
    </row>
    <row r="25" spans="1:81" ht="18" customHeight="1" x14ac:dyDescent="0.25">
      <c r="A25" s="415"/>
      <c r="B25" s="415"/>
      <c r="C25" s="416" t="s">
        <v>96</v>
      </c>
      <c r="D25" s="417">
        <f>SUM(C17*C19)</f>
        <v>8027.5199999999995</v>
      </c>
      <c r="E25" s="418" t="s">
        <v>3</v>
      </c>
      <c r="F25" s="415"/>
      <c r="G25" s="415"/>
      <c r="H25" s="415"/>
    </row>
    <row r="26" spans="1:81" s="17" customFormat="1" ht="12.75" customHeight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</row>
    <row r="27" spans="1:81" s="17" customFormat="1" ht="12.75" customHeight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</row>
    <row r="28" spans="1:81" s="17" customFormat="1" ht="12.7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</row>
    <row r="29" spans="1:81" s="17" customFormat="1" ht="18" customHeight="1" x14ac:dyDescent="0.25">
      <c r="A29" s="23"/>
      <c r="B29" s="23"/>
      <c r="C29" s="23"/>
      <c r="D29" s="23"/>
      <c r="E29" s="23"/>
      <c r="F29" s="23"/>
      <c r="G29" s="23"/>
      <c r="H29" s="223" t="s">
        <v>9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</row>
    <row r="30" spans="1:81" s="17" customFormat="1" ht="12.75" customHeight="1" x14ac:dyDescent="0.25">
      <c r="A30" s="23"/>
      <c r="B30" s="23"/>
      <c r="C30" s="23"/>
      <c r="D30" s="23"/>
      <c r="E30" s="23"/>
      <c r="F30" s="23"/>
      <c r="G30" s="23"/>
      <c r="H30" s="11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</row>
    <row r="31" spans="1:81" s="17" customFormat="1" ht="12.75" customHeight="1" x14ac:dyDescent="0.25">
      <c r="A31" s="23"/>
      <c r="B31" s="23"/>
      <c r="C31" s="23"/>
      <c r="D31" s="23"/>
      <c r="E31" s="23"/>
      <c r="F31" s="23"/>
      <c r="G31" s="23"/>
      <c r="H31" s="224" t="s">
        <v>56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</row>
    <row r="32" spans="1:81" s="17" customFormat="1" ht="12.75" customHeight="1" x14ac:dyDescent="0.25">
      <c r="A32" s="23"/>
      <c r="B32" s="23"/>
      <c r="C32" s="23"/>
      <c r="D32" s="23"/>
      <c r="E32" s="23"/>
      <c r="F32" s="23"/>
      <c r="G32" s="23"/>
      <c r="H32" s="224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</row>
    <row r="33" spans="1:81" s="17" customFormat="1" ht="12.75" customHeight="1" x14ac:dyDescent="0.25">
      <c r="A33" s="23"/>
      <c r="B33" s="23"/>
      <c r="C33" s="23"/>
      <c r="D33" s="23"/>
      <c r="E33" s="23"/>
      <c r="F33" s="23"/>
      <c r="G33" s="23"/>
      <c r="H33" s="11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</row>
    <row r="34" spans="1:81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99" t="s">
        <v>6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</row>
    <row r="35" spans="1:81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199" t="s">
        <v>59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</row>
    <row r="36" spans="1:81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10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</row>
    <row r="37" spans="1:81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225" t="s">
        <v>7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</row>
    <row r="38" spans="1:81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</row>
    <row r="39" spans="1:81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</row>
    <row r="40" spans="1:81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</row>
    <row r="41" spans="1:81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</row>
    <row r="42" spans="1:81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</row>
    <row r="43" spans="1:81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</row>
    <row r="44" spans="1:81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</row>
    <row r="45" spans="1:81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</row>
    <row r="46" spans="1:81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81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81" ht="21" customHeight="1" x14ac:dyDescent="0.25">
      <c r="A48" s="13"/>
      <c r="B48" s="11"/>
      <c r="C48" s="112"/>
      <c r="D48" s="112"/>
      <c r="E48" s="112"/>
      <c r="F48" s="112"/>
      <c r="G48" s="112"/>
      <c r="H48" s="112"/>
    </row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</sheetData>
  <sheetProtection algorithmName="SHA-512" hashValue="AdKx0ZjZXdmyS4zFORQMd/KO+1u7qeKBxdsd2Z1kdE4Kbh/obBuQqUOfoxhXoSItV9TsLXHeXKWFdl3RJ4p8lw==" saltValue="6PAySbQHN1m04jZdsQBZ2w==" spinCount="100000" sheet="1" selectLockedCells="1"/>
  <mergeCells count="3">
    <mergeCell ref="A1:H1"/>
    <mergeCell ref="G10:H15"/>
    <mergeCell ref="B24:G24"/>
  </mergeCells>
  <dataValidations disablePrompts="1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D2E133C3-3D88-421D-A747-4DD0CE1357C1}"/>
  </dataValidations>
  <hyperlinks>
    <hyperlink ref="H36" r:id="rId1" xr:uid="{AC1B5BF3-C602-4E15-B72D-6FE0A9C95B56}"/>
    <hyperlink ref="H35" r:id="rId2" xr:uid="{9E018635-DEC8-4671-A6D5-31E2A79FF929}"/>
    <hyperlink ref="H34" r:id="rId3" xr:uid="{CAEBFB62-39C6-4294-BF7F-24A4FED99626}"/>
  </hyperlinks>
  <pageMargins left="0.75" right="0.75" top="1" bottom="1" header="0.5" footer="0.5"/>
  <pageSetup orientation="portrait" r:id="rId4"/>
  <headerFooter alignWithMargins="0"/>
  <drawing r:id="rId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>
    <tabColor rgb="FFFFC000"/>
  </sheetPr>
  <dimension ref="A1:CC54"/>
  <sheetViews>
    <sheetView showGridLines="0" showRowColHeaders="0" zoomScaleNormal="100" workbookViewId="0">
      <selection activeCell="C16" sqref="C16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47" width="9.109375" style="23"/>
    <col min="48" max="48" width="9.109375" style="23" customWidth="1"/>
    <col min="49" max="16384" width="9.109375" style="23"/>
  </cols>
  <sheetData>
    <row r="1" spans="1:8" ht="24" customHeight="1" x14ac:dyDescent="0.25">
      <c r="A1" s="550" t="s">
        <v>78</v>
      </c>
      <c r="B1" s="550"/>
      <c r="C1" s="550"/>
      <c r="D1" s="550"/>
      <c r="E1" s="550"/>
      <c r="F1" s="550"/>
      <c r="G1" s="550"/>
      <c r="H1" s="550"/>
    </row>
    <row r="2" spans="1:8" ht="12.75" customHeight="1" x14ac:dyDescent="0.25"/>
    <row r="3" spans="1:8" ht="18" customHeight="1" x14ac:dyDescent="0.3">
      <c r="B3" s="41"/>
      <c r="C3" s="36"/>
      <c r="D3" s="94" t="s">
        <v>87</v>
      </c>
      <c r="E3" s="96">
        <v>200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86</v>
      </c>
      <c r="E5" s="344">
        <f>E3+E3*E4/100</f>
        <v>200</v>
      </c>
      <c r="F5" s="3"/>
      <c r="G5" s="3"/>
      <c r="H5" s="3"/>
    </row>
    <row r="6" spans="1:8" ht="12.75" customHeight="1" x14ac:dyDescent="0.25">
      <c r="B6" s="20"/>
      <c r="C6" s="200"/>
      <c r="D6" s="22"/>
      <c r="E6" s="22"/>
    </row>
    <row r="7" spans="1:8" ht="18" customHeight="1" thickBot="1" x14ac:dyDescent="0.35">
      <c r="B7" s="201" t="s">
        <v>0</v>
      </c>
      <c r="C7" s="202" t="s">
        <v>79</v>
      </c>
      <c r="D7" s="203"/>
      <c r="E7" s="22"/>
      <c r="F7" s="3"/>
      <c r="G7" s="3"/>
      <c r="H7" s="3"/>
    </row>
    <row r="8" spans="1:8" ht="18" customHeight="1" thickTop="1" x14ac:dyDescent="0.3">
      <c r="B8" s="204" t="s">
        <v>11</v>
      </c>
      <c r="C8" s="153">
        <v>1</v>
      </c>
      <c r="D8" s="74">
        <f>SUM(C8)</f>
        <v>1</v>
      </c>
      <c r="F8" s="10"/>
      <c r="G8" s="3"/>
      <c r="H8" s="3"/>
    </row>
    <row r="9" spans="1:8" ht="18.75" hidden="1" customHeight="1" x14ac:dyDescent="0.25">
      <c r="B9" s="205" t="s">
        <v>67</v>
      </c>
      <c r="C9" s="206">
        <v>0.76</v>
      </c>
      <c r="D9" s="203"/>
    </row>
    <row r="10" spans="1:8" ht="12.75" customHeight="1" x14ac:dyDescent="0.25">
      <c r="B10" s="207" t="s">
        <v>1</v>
      </c>
      <c r="C10" s="208">
        <f>+(E5*C8)/C9</f>
        <v>263.15789473684208</v>
      </c>
      <c r="D10" s="203"/>
      <c r="G10" s="490" t="s">
        <v>189</v>
      </c>
      <c r="H10" s="490"/>
    </row>
    <row r="11" spans="1:8" ht="12.75" customHeight="1" x14ac:dyDescent="0.3">
      <c r="B11" s="209" t="s">
        <v>68</v>
      </c>
      <c r="C11" s="206">
        <v>117</v>
      </c>
      <c r="D11" s="203"/>
      <c r="F11" s="210"/>
      <c r="G11" s="490"/>
      <c r="H11" s="490"/>
    </row>
    <row r="12" spans="1:8" ht="12.75" customHeight="1" thickBot="1" x14ac:dyDescent="0.35">
      <c r="B12" s="115" t="s">
        <v>84</v>
      </c>
      <c r="C12" s="138">
        <v>13</v>
      </c>
      <c r="D12" s="203"/>
      <c r="F12" s="210"/>
      <c r="G12" s="490"/>
      <c r="H12" s="490"/>
    </row>
    <row r="13" spans="1:8" ht="18.75" hidden="1" customHeight="1" x14ac:dyDescent="0.25">
      <c r="B13" s="116" t="s">
        <v>64</v>
      </c>
      <c r="C13" s="138">
        <v>13</v>
      </c>
      <c r="D13" s="211"/>
      <c r="E13" s="212"/>
      <c r="G13" s="490"/>
      <c r="H13" s="490"/>
    </row>
    <row r="14" spans="1:8" ht="18.75" hidden="1" customHeight="1" thickBot="1" x14ac:dyDescent="0.3">
      <c r="B14" s="116" t="s">
        <v>65</v>
      </c>
      <c r="C14" s="138">
        <v>13</v>
      </c>
      <c r="D14" s="213"/>
      <c r="E14" s="214"/>
      <c r="G14" s="490"/>
      <c r="H14" s="490"/>
    </row>
    <row r="15" spans="1:8" ht="18" customHeight="1" thickBot="1" x14ac:dyDescent="0.3">
      <c r="B15" s="52" t="s">
        <v>69</v>
      </c>
      <c r="C15" s="119">
        <f>IF(MOD(C10+C13,C11)&lt;=C13,1+ROUNDDOWN(C10/C11,0),ROUNDDOWN(C10/C11,0))</f>
        <v>2</v>
      </c>
      <c r="D15" s="215"/>
      <c r="E15" s="216"/>
      <c r="G15" s="490"/>
      <c r="H15" s="490"/>
    </row>
    <row r="16" spans="1:8" ht="18" customHeight="1" thickBot="1" x14ac:dyDescent="0.3">
      <c r="B16" s="139" t="s">
        <v>85</v>
      </c>
      <c r="C16" s="119">
        <f>IF(ROUNDUP((C10-(C11*C15))/C12,0)&lt;0,0,ROUNDUP((C10-(C11*C15))/C12,0))</f>
        <v>3</v>
      </c>
      <c r="D16" s="215"/>
      <c r="E16" s="216"/>
    </row>
    <row r="17" spans="1:81" ht="18" customHeight="1" x14ac:dyDescent="0.25">
      <c r="B17" s="140" t="s">
        <v>66</v>
      </c>
      <c r="C17" s="141">
        <f>(C15*C11)+(ROUNDUP(C16/2,0)*C13)+(ROUNDDOWN(C16/2,0)*C14)</f>
        <v>273</v>
      </c>
      <c r="D17" s="215"/>
      <c r="E17" s="216"/>
    </row>
    <row r="18" spans="1:81" ht="12.75" customHeight="1" x14ac:dyDescent="0.25">
      <c r="B18" s="143" t="s">
        <v>71</v>
      </c>
      <c r="C18" s="78">
        <f>C11*C19</f>
        <v>3119.22</v>
      </c>
      <c r="D18" s="215"/>
      <c r="E18" s="216"/>
    </row>
    <row r="19" spans="1:81" ht="12.75" customHeight="1" x14ac:dyDescent="0.25">
      <c r="B19" s="217" t="s">
        <v>70</v>
      </c>
      <c r="C19" s="218">
        <v>26.66</v>
      </c>
      <c r="D19" s="215"/>
      <c r="E19" s="216"/>
    </row>
    <row r="20" spans="1:81" ht="12.75" hidden="1" customHeight="1" x14ac:dyDescent="0.25">
      <c r="B20" s="219" t="s">
        <v>72</v>
      </c>
      <c r="C20" s="78">
        <f>+C17*C9</f>
        <v>207.48</v>
      </c>
      <c r="D20" s="215"/>
      <c r="E20" s="216"/>
    </row>
    <row r="21" spans="1:81" ht="12.75" customHeight="1" x14ac:dyDescent="0.25">
      <c r="B21" s="203"/>
      <c r="C21" s="203"/>
      <c r="D21" s="203"/>
    </row>
    <row r="22" spans="1:81" ht="18" customHeight="1" x14ac:dyDescent="0.25">
      <c r="A22" s="415"/>
      <c r="B22" s="415"/>
      <c r="C22" s="416" t="s">
        <v>93</v>
      </c>
      <c r="D22" s="417">
        <f>SUM(C20)</f>
        <v>207.48</v>
      </c>
      <c r="E22" s="418" t="s">
        <v>83</v>
      </c>
      <c r="F22" s="415"/>
      <c r="G22" s="415"/>
      <c r="H22" s="415"/>
    </row>
    <row r="23" spans="1:81" ht="18" customHeight="1" x14ac:dyDescent="0.25">
      <c r="A23" s="35"/>
      <c r="B23" s="35"/>
      <c r="C23" s="220" t="s">
        <v>95</v>
      </c>
      <c r="D23" s="221">
        <f>ROUND(+D22/35,0)</f>
        <v>6</v>
      </c>
      <c r="E23" s="226" t="s">
        <v>4</v>
      </c>
      <c r="F23" s="35"/>
      <c r="G23" s="35"/>
      <c r="H23" s="35"/>
    </row>
    <row r="24" spans="1:81" ht="12.75" customHeight="1" x14ac:dyDescent="0.25">
      <c r="A24" s="39"/>
      <c r="B24" s="487" t="s">
        <v>8</v>
      </c>
      <c r="C24" s="487"/>
      <c r="D24" s="487"/>
      <c r="E24" s="487"/>
      <c r="F24" s="487"/>
      <c r="G24" s="487"/>
      <c r="H24" s="35"/>
    </row>
    <row r="25" spans="1:81" ht="18" customHeight="1" x14ac:dyDescent="0.25">
      <c r="A25" s="415"/>
      <c r="B25" s="415"/>
      <c r="C25" s="416" t="s">
        <v>96</v>
      </c>
      <c r="D25" s="417">
        <f>SUM(C17*C19)</f>
        <v>7278.18</v>
      </c>
      <c r="E25" s="418" t="s">
        <v>3</v>
      </c>
      <c r="F25" s="415"/>
      <c r="G25" s="415"/>
      <c r="H25" s="415"/>
    </row>
    <row r="26" spans="1:81" s="17" customFormat="1" ht="12.75" customHeight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</row>
    <row r="27" spans="1:81" s="17" customFormat="1" ht="12.75" customHeight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</row>
    <row r="28" spans="1:81" s="17" customFormat="1" ht="12.7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</row>
    <row r="29" spans="1:81" s="17" customFormat="1" ht="18" customHeight="1" x14ac:dyDescent="0.25">
      <c r="A29" s="23"/>
      <c r="B29" s="23"/>
      <c r="C29" s="23"/>
      <c r="D29" s="23"/>
      <c r="E29" s="23"/>
      <c r="F29" s="23"/>
      <c r="G29" s="23"/>
      <c r="H29" s="223" t="s">
        <v>9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</row>
    <row r="30" spans="1:81" s="17" customFormat="1" ht="12.75" customHeight="1" x14ac:dyDescent="0.25">
      <c r="A30" s="23"/>
      <c r="B30" s="23"/>
      <c r="C30" s="23"/>
      <c r="D30" s="23"/>
      <c r="E30" s="23"/>
      <c r="F30" s="23"/>
      <c r="G30" s="23"/>
      <c r="H30" s="11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</row>
    <row r="31" spans="1:81" s="17" customFormat="1" ht="12.75" customHeight="1" x14ac:dyDescent="0.25">
      <c r="A31" s="23"/>
      <c r="B31" s="23"/>
      <c r="C31" s="23"/>
      <c r="D31" s="23"/>
      <c r="E31" s="23"/>
      <c r="F31" s="23"/>
      <c r="G31" s="23"/>
      <c r="H31" s="224" t="s">
        <v>56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</row>
    <row r="32" spans="1:81" s="17" customFormat="1" ht="12.75" customHeight="1" x14ac:dyDescent="0.25">
      <c r="A32" s="23"/>
      <c r="B32" s="23"/>
      <c r="C32" s="23"/>
      <c r="D32" s="23"/>
      <c r="E32" s="23"/>
      <c r="F32" s="23"/>
      <c r="G32" s="23"/>
      <c r="H32" s="224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</row>
    <row r="33" spans="1:81" s="17" customFormat="1" ht="12.75" customHeight="1" x14ac:dyDescent="0.25">
      <c r="A33" s="23"/>
      <c r="B33" s="23"/>
      <c r="C33" s="23"/>
      <c r="D33" s="23"/>
      <c r="E33" s="23"/>
      <c r="F33" s="23"/>
      <c r="G33" s="23"/>
      <c r="H33" s="11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</row>
    <row r="34" spans="1:81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99" t="s">
        <v>6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</row>
    <row r="35" spans="1:81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199" t="s">
        <v>59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</row>
    <row r="36" spans="1:81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10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</row>
    <row r="37" spans="1:81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225" t="s">
        <v>7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</row>
    <row r="38" spans="1:81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</row>
    <row r="39" spans="1:81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</row>
    <row r="40" spans="1:81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</row>
    <row r="41" spans="1:81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</row>
    <row r="42" spans="1:81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</row>
    <row r="43" spans="1:81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</row>
    <row r="44" spans="1:81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</row>
    <row r="45" spans="1:81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</row>
    <row r="46" spans="1:81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81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81" ht="21" customHeight="1" x14ac:dyDescent="0.25">
      <c r="A48" s="13"/>
      <c r="B48" s="11"/>
      <c r="C48" s="112"/>
      <c r="D48" s="112"/>
      <c r="E48" s="112"/>
      <c r="F48" s="112"/>
      <c r="G48" s="112"/>
      <c r="H48" s="112"/>
    </row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</sheetData>
  <sheetProtection selectLockedCells="1"/>
  <mergeCells count="3">
    <mergeCell ref="A1:H1"/>
    <mergeCell ref="G10:H15"/>
    <mergeCell ref="B24:G24"/>
  </mergeCells>
  <dataValidations disablePrompts="1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1A00-000000000000}"/>
  </dataValidations>
  <hyperlinks>
    <hyperlink ref="H36" r:id="rId1" xr:uid="{00000000-0004-0000-1A00-000000000000}"/>
    <hyperlink ref="H35" r:id="rId2" xr:uid="{00000000-0004-0000-1A00-000001000000}"/>
    <hyperlink ref="H34" r:id="rId3" xr:uid="{00000000-0004-0000-1A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>
    <tabColor rgb="FFFFC000"/>
  </sheetPr>
  <dimension ref="A1:R55"/>
  <sheetViews>
    <sheetView showGridLines="0" showRowColHeaders="0"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550" t="s">
        <v>81</v>
      </c>
      <c r="B1" s="550"/>
      <c r="C1" s="550"/>
      <c r="D1" s="550"/>
      <c r="E1" s="550"/>
      <c r="F1" s="550"/>
      <c r="G1" s="550"/>
      <c r="H1" s="550"/>
    </row>
    <row r="2" spans="1:8" ht="12.75" customHeight="1" x14ac:dyDescent="0.25"/>
    <row r="3" spans="1:8" ht="18" customHeight="1" x14ac:dyDescent="0.3">
      <c r="B3" s="41"/>
      <c r="C3" s="36"/>
      <c r="D3" s="94" t="s">
        <v>87</v>
      </c>
      <c r="E3" s="96">
        <v>200</v>
      </c>
      <c r="F3" s="3"/>
      <c r="G3" s="3"/>
      <c r="H3" s="3"/>
    </row>
    <row r="4" spans="1:8" ht="18" customHeight="1" x14ac:dyDescent="0.3">
      <c r="B4" s="35"/>
      <c r="C4" s="36"/>
      <c r="D4" s="95" t="s">
        <v>13</v>
      </c>
      <c r="E4" s="97">
        <v>0</v>
      </c>
      <c r="F4" s="3"/>
      <c r="G4" s="3"/>
      <c r="H4" s="3"/>
    </row>
    <row r="5" spans="1:8" ht="18" customHeight="1" x14ac:dyDescent="0.3">
      <c r="B5" s="35"/>
      <c r="C5" s="36"/>
      <c r="D5" s="95" t="s">
        <v>86</v>
      </c>
      <c r="E5" s="344">
        <f>E3+E3*E4/100</f>
        <v>200</v>
      </c>
      <c r="F5" s="3"/>
      <c r="G5" s="3"/>
      <c r="H5" s="3"/>
    </row>
    <row r="6" spans="1:8" ht="12.75" customHeight="1" x14ac:dyDescent="0.25">
      <c r="B6" s="20"/>
      <c r="C6" s="200"/>
      <c r="D6" s="22"/>
      <c r="E6" s="22"/>
    </row>
    <row r="7" spans="1:8" ht="18" customHeight="1" thickBot="1" x14ac:dyDescent="0.35">
      <c r="B7" s="201" t="s">
        <v>0</v>
      </c>
      <c r="C7" s="202" t="s">
        <v>80</v>
      </c>
      <c r="D7" s="203"/>
      <c r="E7" s="22"/>
      <c r="F7" s="3"/>
      <c r="G7" s="3"/>
      <c r="H7" s="3"/>
    </row>
    <row r="8" spans="1:8" ht="18" customHeight="1" thickTop="1" x14ac:dyDescent="0.3">
      <c r="B8" s="204" t="s">
        <v>11</v>
      </c>
      <c r="C8" s="153">
        <v>1</v>
      </c>
      <c r="D8" s="74">
        <f>SUM(C8)</f>
        <v>1</v>
      </c>
      <c r="F8" s="10"/>
      <c r="G8" s="3"/>
      <c r="H8" s="3"/>
    </row>
    <row r="9" spans="1:8" ht="18.75" hidden="1" customHeight="1" x14ac:dyDescent="0.25">
      <c r="B9" s="205" t="s">
        <v>67</v>
      </c>
      <c r="C9" s="206">
        <v>0.25509999999999999</v>
      </c>
      <c r="D9" s="203"/>
    </row>
    <row r="10" spans="1:8" ht="12.75" customHeight="1" x14ac:dyDescent="0.25">
      <c r="B10" s="207" t="s">
        <v>1</v>
      </c>
      <c r="C10" s="208">
        <f>+(E5*C8)/C9</f>
        <v>784.00627205017645</v>
      </c>
      <c r="D10" s="203"/>
      <c r="G10" s="490" t="s">
        <v>190</v>
      </c>
      <c r="H10" s="490"/>
    </row>
    <row r="11" spans="1:8" ht="12.75" customHeight="1" x14ac:dyDescent="0.3">
      <c r="B11" s="209" t="s">
        <v>68</v>
      </c>
      <c r="C11" s="206">
        <v>342</v>
      </c>
      <c r="D11" s="203"/>
      <c r="F11" s="210"/>
      <c r="G11" s="490"/>
      <c r="H11" s="490"/>
    </row>
    <row r="12" spans="1:8" ht="12.75" customHeight="1" thickBot="1" x14ac:dyDescent="0.35">
      <c r="B12" s="115" t="s">
        <v>84</v>
      </c>
      <c r="C12" s="138">
        <v>38</v>
      </c>
      <c r="D12" s="203"/>
      <c r="F12" s="210"/>
      <c r="G12" s="490"/>
      <c r="H12" s="490"/>
    </row>
    <row r="13" spans="1:8" ht="18.75" hidden="1" customHeight="1" x14ac:dyDescent="0.25">
      <c r="B13" s="116" t="s">
        <v>64</v>
      </c>
      <c r="C13" s="138">
        <v>38</v>
      </c>
      <c r="D13" s="211"/>
      <c r="E13" s="212"/>
      <c r="G13" s="490"/>
      <c r="H13" s="490"/>
    </row>
    <row r="14" spans="1:8" ht="18.75" hidden="1" customHeight="1" thickBot="1" x14ac:dyDescent="0.3">
      <c r="B14" s="116" t="s">
        <v>65</v>
      </c>
      <c r="C14" s="138">
        <v>38</v>
      </c>
      <c r="D14" s="213"/>
      <c r="E14" s="214"/>
      <c r="G14" s="490"/>
      <c r="H14" s="490"/>
    </row>
    <row r="15" spans="1:8" ht="18" customHeight="1" thickBot="1" x14ac:dyDescent="0.3">
      <c r="B15" s="52" t="s">
        <v>69</v>
      </c>
      <c r="C15" s="119">
        <f>IF(MOD(C10+C13,C11)&lt;=C13,1+ROUNDDOWN(C10/C11,0),ROUNDDOWN(C10/C11,0))</f>
        <v>2</v>
      </c>
      <c r="D15" s="215"/>
      <c r="E15" s="216"/>
      <c r="G15" s="490"/>
      <c r="H15" s="490"/>
    </row>
    <row r="16" spans="1:8" ht="18" customHeight="1" thickBot="1" x14ac:dyDescent="0.3">
      <c r="B16" s="139" t="s">
        <v>85</v>
      </c>
      <c r="C16" s="119">
        <f>IF(ROUNDUP((C10-(C11*C15))/C12,0)&lt;0,0,ROUNDUP((C10-(C11*C15))/C12,0))</f>
        <v>3</v>
      </c>
      <c r="D16" s="215"/>
      <c r="E16" s="216"/>
    </row>
    <row r="17" spans="1:18" ht="18" customHeight="1" x14ac:dyDescent="0.25">
      <c r="B17" s="140" t="s">
        <v>66</v>
      </c>
      <c r="C17" s="141">
        <f>(C15*C11)+(ROUNDUP(C16/2,0)*C13)+(ROUNDDOWN(C16/2,0)*C14)</f>
        <v>798</v>
      </c>
      <c r="D17" s="215"/>
      <c r="E17" s="216"/>
    </row>
    <row r="18" spans="1:18" ht="12.75" customHeight="1" x14ac:dyDescent="0.25">
      <c r="B18" s="143" t="s">
        <v>71</v>
      </c>
      <c r="C18" s="78">
        <f>C11*C19</f>
        <v>3039.0633000000003</v>
      </c>
      <c r="D18" s="215"/>
      <c r="E18" s="216"/>
    </row>
    <row r="19" spans="1:18" ht="12.75" customHeight="1" x14ac:dyDescent="0.25">
      <c r="B19" s="217" t="s">
        <v>70</v>
      </c>
      <c r="C19" s="218">
        <v>8.8861500000000007</v>
      </c>
      <c r="D19" s="215"/>
      <c r="E19" s="216"/>
    </row>
    <row r="20" spans="1:18" ht="12.75" hidden="1" customHeight="1" x14ac:dyDescent="0.25">
      <c r="B20" s="219" t="s">
        <v>72</v>
      </c>
      <c r="C20" s="78">
        <f>+C17*C9</f>
        <v>203.56979999999999</v>
      </c>
      <c r="D20" s="215"/>
      <c r="E20" s="216"/>
    </row>
    <row r="21" spans="1:18" ht="12.75" customHeight="1" x14ac:dyDescent="0.25"/>
    <row r="22" spans="1:18" ht="18" customHeight="1" x14ac:dyDescent="0.25">
      <c r="A22" s="415"/>
      <c r="B22" s="415"/>
      <c r="C22" s="416" t="s">
        <v>93</v>
      </c>
      <c r="D22" s="417">
        <f>SUM(C20)</f>
        <v>203.56979999999999</v>
      </c>
      <c r="E22" s="418" t="s">
        <v>82</v>
      </c>
      <c r="F22" s="415"/>
      <c r="G22" s="415"/>
      <c r="H22" s="415"/>
    </row>
    <row r="23" spans="1:18" ht="18" customHeight="1" x14ac:dyDescent="0.25">
      <c r="A23" s="35"/>
      <c r="B23" s="35"/>
      <c r="C23" s="220" t="s">
        <v>95</v>
      </c>
      <c r="D23" s="221">
        <f>ROUND(+D22/30,0)</f>
        <v>7</v>
      </c>
      <c r="E23" s="222" t="s">
        <v>4</v>
      </c>
      <c r="F23" s="35"/>
      <c r="G23" s="35"/>
      <c r="H23" s="35"/>
    </row>
    <row r="24" spans="1:18" ht="12.75" customHeight="1" x14ac:dyDescent="0.25">
      <c r="A24" s="39"/>
      <c r="B24" s="487" t="s">
        <v>8</v>
      </c>
      <c r="C24" s="487"/>
      <c r="D24" s="487"/>
      <c r="E24" s="487"/>
      <c r="F24" s="487"/>
      <c r="G24" s="487"/>
      <c r="H24" s="35"/>
    </row>
    <row r="25" spans="1:18" ht="18" customHeight="1" x14ac:dyDescent="0.25">
      <c r="A25" s="415"/>
      <c r="B25" s="415"/>
      <c r="C25" s="416" t="s">
        <v>96</v>
      </c>
      <c r="D25" s="417">
        <f>SUM(C17*C19)</f>
        <v>7091.1477000000004</v>
      </c>
      <c r="E25" s="418" t="s">
        <v>3</v>
      </c>
      <c r="F25" s="415"/>
      <c r="G25" s="415"/>
      <c r="H25" s="415"/>
    </row>
    <row r="26" spans="1:18" s="17" customFormat="1" ht="12.75" customHeight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18" s="17" customFormat="1" ht="12.75" customHeight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18" s="17" customFormat="1" ht="12.7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s="17" customFormat="1" ht="18" customHeight="1" x14ac:dyDescent="0.25">
      <c r="A29" s="23"/>
      <c r="B29" s="23"/>
      <c r="C29" s="23"/>
      <c r="D29" s="23"/>
      <c r="E29" s="23"/>
      <c r="F29" s="23"/>
      <c r="G29" s="23"/>
      <c r="H29" s="223" t="s">
        <v>9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s="17" customFormat="1" ht="12.75" customHeight="1" x14ac:dyDescent="0.25">
      <c r="A30" s="23"/>
      <c r="B30" s="23"/>
      <c r="C30" s="23"/>
      <c r="D30" s="23"/>
      <c r="E30" s="23"/>
      <c r="F30" s="23"/>
      <c r="G30" s="23"/>
      <c r="H30" s="11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s="17" customFormat="1" ht="12.75" customHeight="1" x14ac:dyDescent="0.25">
      <c r="A31" s="23"/>
      <c r="B31" s="23"/>
      <c r="C31" s="23"/>
      <c r="D31" s="23"/>
      <c r="E31" s="23"/>
      <c r="F31" s="23"/>
      <c r="G31" s="23"/>
      <c r="H31" s="224" t="s">
        <v>56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s="17" customFormat="1" ht="12.75" customHeight="1" x14ac:dyDescent="0.25">
      <c r="A32" s="23"/>
      <c r="B32" s="23"/>
      <c r="C32" s="23"/>
      <c r="D32" s="23"/>
      <c r="E32" s="23"/>
      <c r="F32" s="23"/>
      <c r="G32" s="23"/>
      <c r="H32" s="224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17" customFormat="1" ht="12.75" customHeight="1" x14ac:dyDescent="0.25">
      <c r="A33" s="23"/>
      <c r="B33" s="23"/>
      <c r="C33" s="23"/>
      <c r="D33" s="23"/>
      <c r="E33" s="23"/>
      <c r="F33" s="23"/>
      <c r="G33" s="23"/>
      <c r="H33" s="11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s="17" customFormat="1" ht="12.75" customHeight="1" x14ac:dyDescent="0.25">
      <c r="A34" s="23"/>
      <c r="B34" s="23"/>
      <c r="C34" s="23"/>
      <c r="D34" s="23"/>
      <c r="E34" s="23"/>
      <c r="F34" s="23"/>
      <c r="G34" s="23"/>
      <c r="H34" s="199" t="s">
        <v>6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17" customFormat="1" ht="12.75" customHeight="1" x14ac:dyDescent="0.25">
      <c r="A35" s="23"/>
      <c r="B35" s="23"/>
      <c r="C35" s="23"/>
      <c r="D35" s="23"/>
      <c r="E35" s="23"/>
      <c r="F35" s="23"/>
      <c r="G35" s="23"/>
      <c r="H35" s="199" t="s">
        <v>59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 s="17" customFormat="1" ht="12.75" customHeight="1" x14ac:dyDescent="0.25">
      <c r="A36" s="23"/>
      <c r="B36" s="23"/>
      <c r="C36" s="23"/>
      <c r="D36" s="23"/>
      <c r="E36" s="23"/>
      <c r="F36" s="23"/>
      <c r="G36" s="23"/>
      <c r="H36" s="199" t="s">
        <v>10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 s="17" customFormat="1" ht="12.75" customHeight="1" x14ac:dyDescent="0.25">
      <c r="A37" s="23"/>
      <c r="B37" s="23"/>
      <c r="C37" s="23"/>
      <c r="D37" s="23"/>
      <c r="E37" s="23"/>
      <c r="F37" s="23"/>
      <c r="G37" s="23"/>
      <c r="H37" s="225" t="s">
        <v>7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s="17" customFormat="1" ht="12.75" customHeight="1" x14ac:dyDescent="0.25">
      <c r="A38" s="23"/>
      <c r="B38" s="23"/>
      <c r="C38" s="23"/>
      <c r="D38" s="23"/>
      <c r="E38" s="23"/>
      <c r="F38" s="23"/>
      <c r="G38" s="23"/>
      <c r="H38" s="225"/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 s="17" customFormat="1" ht="12.7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1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18" ht="21" customHeight="1" x14ac:dyDescent="0.25">
      <c r="A48" s="13"/>
      <c r="B48" s="11"/>
      <c r="C48" s="112"/>
      <c r="D48" s="112"/>
      <c r="E48" s="112"/>
      <c r="F48" s="112"/>
      <c r="G48" s="112"/>
      <c r="H48" s="112"/>
    </row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</sheetData>
  <sheetProtection algorithmName="SHA-512" hashValue="r0FnZ/HJ01oQr0auRL0ZME2zUSQ8nGGUONbrIQIY+YUzaaouMNiJZ08U8GhSEx74NuSMJyI0n3gf+sOhxbOMBg==" saltValue="NB5CF2z5TFo6oY7AWwUc5A==" spinCount="100000" sheet="1" selectLockedCells="1"/>
  <mergeCells count="3">
    <mergeCell ref="A1:H1"/>
    <mergeCell ref="G10:H15"/>
    <mergeCell ref="B24:G24"/>
  </mergeCells>
  <dataValidations disablePrompts="1" count="1">
    <dataValidation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Projects with a higher than average number of openings and corners may require a higher allowance.  " sqref="E4" xr:uid="{00000000-0002-0000-1B00-000000000000}"/>
  </dataValidations>
  <hyperlinks>
    <hyperlink ref="H36" r:id="rId1" xr:uid="{00000000-0004-0000-1B00-000000000000}"/>
    <hyperlink ref="H35" r:id="rId2" xr:uid="{00000000-0004-0000-1B00-000001000000}"/>
    <hyperlink ref="H34" r:id="rId3" xr:uid="{00000000-0004-0000-1B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3">
    <tabColor theme="9"/>
    <pageSetUpPr autoPageBreaks="0"/>
  </sheetPr>
  <dimension ref="A1:H48"/>
  <sheetViews>
    <sheetView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494" t="s">
        <v>160</v>
      </c>
      <c r="B1" s="494"/>
      <c r="C1" s="494"/>
      <c r="D1" s="494"/>
      <c r="E1" s="494"/>
      <c r="F1" s="494"/>
      <c r="G1" s="494"/>
      <c r="H1" s="494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2"/>
      <c r="C3" s="43"/>
      <c r="D3" s="133" t="s">
        <v>87</v>
      </c>
      <c r="E3" s="136">
        <v>200</v>
      </c>
      <c r="F3" s="158"/>
      <c r="G3" s="2"/>
      <c r="H3" s="3"/>
    </row>
    <row r="4" spans="1:8" ht="18" customHeight="1" x14ac:dyDescent="0.3">
      <c r="A4" s="22"/>
      <c r="B4" s="42"/>
      <c r="C4" s="43"/>
      <c r="D4" s="134" t="s">
        <v>13</v>
      </c>
      <c r="E4" s="137">
        <v>0</v>
      </c>
      <c r="F4" s="159"/>
      <c r="G4" s="160"/>
      <c r="H4" s="160"/>
    </row>
    <row r="5" spans="1:8" ht="18" customHeight="1" x14ac:dyDescent="0.3">
      <c r="A5" s="22"/>
      <c r="B5" s="42"/>
      <c r="C5" s="43"/>
      <c r="D5" s="134" t="s">
        <v>86</v>
      </c>
      <c r="E5" s="347">
        <f>E3+E3*E4/100</f>
        <v>200</v>
      </c>
      <c r="F5" s="16"/>
      <c r="G5" s="160"/>
      <c r="H5" s="160"/>
    </row>
    <row r="6" spans="1:8" ht="18" customHeight="1" x14ac:dyDescent="0.3">
      <c r="A6" s="22"/>
      <c r="B6" s="30"/>
      <c r="C6" s="31"/>
      <c r="D6" s="135" t="s">
        <v>77</v>
      </c>
      <c r="E6" s="197">
        <v>50</v>
      </c>
      <c r="F6" s="158"/>
      <c r="G6" s="2"/>
      <c r="H6" s="3"/>
    </row>
    <row r="7" spans="1:8" ht="18" customHeight="1" x14ac:dyDescent="0.3">
      <c r="A7" s="22"/>
      <c r="B7" s="42"/>
      <c r="C7" s="43"/>
      <c r="D7" s="134" t="s">
        <v>173</v>
      </c>
      <c r="E7" s="198">
        <v>0.375</v>
      </c>
      <c r="F7" s="158"/>
      <c r="G7" s="2"/>
      <c r="H7" s="3"/>
    </row>
    <row r="8" spans="1:8" ht="12.75" customHeight="1" x14ac:dyDescent="0.25">
      <c r="A8" s="22"/>
      <c r="B8" s="511" t="s">
        <v>174</v>
      </c>
      <c r="C8" s="511"/>
      <c r="D8" s="511"/>
      <c r="E8" s="511"/>
      <c r="F8" s="511"/>
      <c r="G8" s="160"/>
      <c r="H8" s="160"/>
    </row>
    <row r="9" spans="1:8" ht="18" customHeight="1" x14ac:dyDescent="0.25">
      <c r="A9" s="22"/>
      <c r="B9" s="25"/>
      <c r="C9" s="25"/>
      <c r="D9" s="25"/>
      <c r="E9" s="22"/>
      <c r="F9" s="22"/>
      <c r="G9" s="160"/>
      <c r="H9" s="160"/>
    </row>
    <row r="10" spans="1:8" ht="18" customHeight="1" thickBot="1" x14ac:dyDescent="0.35">
      <c r="A10" s="22"/>
      <c r="B10" s="273" t="s">
        <v>100</v>
      </c>
      <c r="C10" s="274"/>
      <c r="D10" s="161"/>
      <c r="E10" s="495" t="s">
        <v>99</v>
      </c>
      <c r="F10" s="496"/>
      <c r="G10" s="174" t="s">
        <v>110</v>
      </c>
      <c r="H10" s="3"/>
    </row>
    <row r="11" spans="1:8" ht="18" customHeight="1" thickTop="1" x14ac:dyDescent="0.3">
      <c r="A11" s="22"/>
      <c r="B11" s="275" t="s">
        <v>101</v>
      </c>
      <c r="C11" s="276">
        <f>E5</f>
        <v>200</v>
      </c>
      <c r="D11" s="161"/>
      <c r="E11" s="497" t="s">
        <v>169</v>
      </c>
      <c r="F11" s="498"/>
      <c r="G11" s="175">
        <f>E6</f>
        <v>50</v>
      </c>
      <c r="H11" s="3"/>
    </row>
    <row r="12" spans="1:8" ht="18" customHeight="1" x14ac:dyDescent="0.3">
      <c r="A12" s="22"/>
      <c r="B12" s="277" t="s">
        <v>175</v>
      </c>
      <c r="C12" s="278">
        <v>0.375</v>
      </c>
      <c r="D12" s="161"/>
      <c r="E12" s="349"/>
      <c r="F12" s="350" t="s">
        <v>176</v>
      </c>
      <c r="G12" s="183">
        <f>60/3.625</f>
        <v>16.551724137931036</v>
      </c>
      <c r="H12" s="3"/>
    </row>
    <row r="13" spans="1:8" ht="18" customHeight="1" x14ac:dyDescent="0.3">
      <c r="A13" s="22"/>
      <c r="B13" s="277" t="s">
        <v>177</v>
      </c>
      <c r="C13" s="278">
        <v>0.5</v>
      </c>
      <c r="D13" s="161"/>
      <c r="E13" s="349"/>
      <c r="F13" s="350"/>
      <c r="G13" s="183"/>
      <c r="H13" s="3"/>
    </row>
    <row r="14" spans="1:8" ht="18" customHeight="1" x14ac:dyDescent="0.3">
      <c r="A14" s="22"/>
      <c r="B14" s="279" t="s">
        <v>178</v>
      </c>
      <c r="C14" s="280">
        <f>(23.625*2.125)/144</f>
        <v>0.3486328125</v>
      </c>
      <c r="D14" s="161"/>
      <c r="E14" s="349"/>
      <c r="F14" s="350"/>
      <c r="G14" s="184"/>
      <c r="H14" s="3"/>
    </row>
    <row r="15" spans="1:8" ht="18" customHeight="1" x14ac:dyDescent="0.3">
      <c r="A15" s="22"/>
      <c r="B15" s="279" t="s">
        <v>68</v>
      </c>
      <c r="C15" s="280">
        <f>100/C14</f>
        <v>286.83473389355743</v>
      </c>
      <c r="D15" s="161"/>
      <c r="E15" s="349"/>
      <c r="F15" s="350"/>
      <c r="G15" s="184"/>
      <c r="H15" s="3"/>
    </row>
    <row r="16" spans="1:8" ht="18" customHeight="1" x14ac:dyDescent="0.3">
      <c r="A16" s="22"/>
      <c r="B16" s="279" t="s">
        <v>176</v>
      </c>
      <c r="C16" s="280">
        <f>5/C14</f>
        <v>14.341736694677872</v>
      </c>
      <c r="D16" s="161"/>
      <c r="E16" s="349"/>
      <c r="F16" s="350"/>
      <c r="G16" s="184"/>
      <c r="H16" s="3"/>
    </row>
    <row r="17" spans="1:8" ht="18" customHeight="1" x14ac:dyDescent="0.3">
      <c r="A17" s="22"/>
      <c r="B17" s="279" t="s">
        <v>179</v>
      </c>
      <c r="C17" s="280">
        <f>(24*2.5)/144</f>
        <v>0.41666666666666669</v>
      </c>
      <c r="D17" s="161"/>
      <c r="E17" s="349"/>
      <c r="F17" s="350"/>
      <c r="G17" s="184"/>
      <c r="H17" s="3"/>
    </row>
    <row r="18" spans="1:8" ht="18" customHeight="1" x14ac:dyDescent="0.3">
      <c r="A18" s="22"/>
      <c r="B18" s="279" t="s">
        <v>180</v>
      </c>
      <c r="C18" s="280">
        <f>(24.125*2.625)/144</f>
        <v>0.43977864583333331</v>
      </c>
      <c r="D18" s="161"/>
      <c r="E18" s="349"/>
      <c r="F18" s="350"/>
      <c r="G18" s="184"/>
      <c r="H18" s="3"/>
    </row>
    <row r="19" spans="1:8" ht="18" customHeight="1" x14ac:dyDescent="0.25">
      <c r="A19" s="22"/>
      <c r="B19" s="279" t="s">
        <v>112</v>
      </c>
      <c r="C19" s="281">
        <f>IF(E7=0.375,(C15*C17),(C15*C18))</f>
        <v>119.51447245564893</v>
      </c>
      <c r="D19" s="161"/>
      <c r="E19" s="185"/>
      <c r="F19" s="186" t="s">
        <v>109</v>
      </c>
      <c r="G19" s="187">
        <f>IF(E7=0.375,(G12*4/12),(G12*4.125/12))</f>
        <v>5.5172413793103452</v>
      </c>
      <c r="H19" s="162"/>
    </row>
    <row r="20" spans="1:8" ht="18" customHeight="1" thickBot="1" x14ac:dyDescent="0.3">
      <c r="A20" s="22"/>
      <c r="B20" s="279" t="s">
        <v>111</v>
      </c>
      <c r="C20" s="282">
        <f>IF(E7=0.375,(C16*C17),(C16*C18))</f>
        <v>5.9757236227824464</v>
      </c>
      <c r="D20" s="161"/>
      <c r="E20" s="188"/>
      <c r="F20" s="189"/>
      <c r="G20" s="190"/>
      <c r="H20" s="162"/>
    </row>
    <row r="21" spans="1:8" ht="18" customHeight="1" thickTop="1" thickBot="1" x14ac:dyDescent="0.3">
      <c r="A21" s="22"/>
      <c r="B21" s="283" t="s">
        <v>69</v>
      </c>
      <c r="C21" s="284">
        <f>IF(MOD(C11,C19)&lt;=(C19*0.65),ROUNDDOWN(+E5/C19,0),ROUNDUP(+E5/C19,0))</f>
        <v>2</v>
      </c>
      <c r="D21" s="161"/>
      <c r="E21" s="505" t="s">
        <v>108</v>
      </c>
      <c r="F21" s="506"/>
      <c r="G21" s="284">
        <f>ROUNDUP(E6/G19,0)</f>
        <v>10</v>
      </c>
      <c r="H21" s="162"/>
    </row>
    <row r="22" spans="1:8" ht="18" customHeight="1" thickTop="1" x14ac:dyDescent="0.25">
      <c r="A22" s="22"/>
      <c r="B22" s="285" t="s">
        <v>113</v>
      </c>
      <c r="C22" s="284">
        <f>IF(ROUNDUP((C11-(C19*C21)),0)&lt;0,0,ROUNDUP((C11-(C19*C21))/C20,0))</f>
        <v>0</v>
      </c>
      <c r="D22" s="161"/>
      <c r="E22" s="507" t="s">
        <v>76</v>
      </c>
      <c r="F22" s="507"/>
      <c r="G22" s="286">
        <v>48</v>
      </c>
    </row>
    <row r="23" spans="1:8" ht="18" customHeight="1" x14ac:dyDescent="0.25">
      <c r="A23" s="22"/>
      <c r="B23" s="287" t="s">
        <v>71</v>
      </c>
      <c r="C23" s="78">
        <v>1510</v>
      </c>
      <c r="D23" s="161"/>
    </row>
    <row r="24" spans="1:8" ht="18" customHeight="1" x14ac:dyDescent="0.25">
      <c r="A24" s="22"/>
      <c r="B24" s="217" t="s">
        <v>114</v>
      </c>
      <c r="C24" s="157">
        <v>75</v>
      </c>
      <c r="D24" s="161"/>
      <c r="E24" s="161"/>
      <c r="F24" s="161"/>
      <c r="G24" s="161"/>
    </row>
    <row r="25" spans="1:8" ht="12.75" customHeight="1" x14ac:dyDescent="0.25">
      <c r="A25" s="22"/>
      <c r="B25" s="217"/>
      <c r="C25" s="157"/>
      <c r="D25" s="161"/>
      <c r="E25" s="161"/>
      <c r="F25" s="161"/>
      <c r="G25" s="161"/>
    </row>
    <row r="26" spans="1:8" ht="18" customHeight="1" x14ac:dyDescent="0.25">
      <c r="A26" s="176"/>
      <c r="B26" s="176"/>
      <c r="C26" s="177" t="s">
        <v>115</v>
      </c>
      <c r="D26" s="178">
        <f>(C21*C19)+(C22*C20)</f>
        <v>239.02894491129786</v>
      </c>
      <c r="E26" s="179" t="s">
        <v>182</v>
      </c>
      <c r="F26" s="176"/>
      <c r="G26" s="176"/>
      <c r="H26" s="176"/>
    </row>
    <row r="27" spans="1:8" s="11" customFormat="1" ht="18" customHeight="1" x14ac:dyDescent="0.25">
      <c r="A27" s="176"/>
      <c r="B27" s="176"/>
      <c r="C27" s="177" t="s">
        <v>102</v>
      </c>
      <c r="D27" s="178">
        <f>(C21*C23)+(C22*C24)</f>
        <v>3020</v>
      </c>
      <c r="E27" s="179" t="s">
        <v>3</v>
      </c>
      <c r="F27" s="176"/>
      <c r="G27" s="176"/>
      <c r="H27" s="176"/>
    </row>
    <row r="28" spans="1:8" s="11" customFormat="1" ht="18" customHeight="1" x14ac:dyDescent="0.3">
      <c r="A28" s="288"/>
      <c r="B28" s="288"/>
      <c r="C28" s="289" t="s">
        <v>98</v>
      </c>
      <c r="D28" s="290">
        <f>G19*G21</f>
        <v>55.172413793103452</v>
      </c>
      <c r="E28" s="291" t="s">
        <v>183</v>
      </c>
      <c r="F28" s="292"/>
      <c r="G28" s="288"/>
      <c r="H28" s="293"/>
    </row>
    <row r="29" spans="1:8" s="11" customFormat="1" ht="18" customHeight="1" x14ac:dyDescent="0.3">
      <c r="A29" s="288"/>
      <c r="B29" s="288"/>
      <c r="C29" s="289" t="s">
        <v>103</v>
      </c>
      <c r="D29" s="290">
        <f>G21*G22</f>
        <v>480</v>
      </c>
      <c r="E29" s="291" t="s">
        <v>3</v>
      </c>
      <c r="F29" s="292"/>
      <c r="G29" s="288"/>
      <c r="H29" s="293"/>
    </row>
    <row r="30" spans="1:8" s="11" customFormat="1" ht="18" customHeight="1" x14ac:dyDescent="0.25">
      <c r="A30" s="39"/>
      <c r="B30" s="39"/>
      <c r="C30" s="69" t="s">
        <v>95</v>
      </c>
      <c r="D30" s="70">
        <f>ROUND(+D26/25,0)</f>
        <v>10</v>
      </c>
      <c r="E30" s="294" t="s">
        <v>170</v>
      </c>
      <c r="F30" s="40"/>
      <c r="G30" s="39"/>
      <c r="H30" s="35"/>
    </row>
    <row r="31" spans="1:8" s="11" customFormat="1" ht="18" customHeight="1" x14ac:dyDescent="0.25">
      <c r="A31" s="39"/>
      <c r="B31" s="295"/>
      <c r="C31" s="69" t="s">
        <v>95</v>
      </c>
      <c r="D31" s="70">
        <f>IF(E7=0.375,ROUND(+D26/60,0),ROUND(+D26/45,0))</f>
        <v>4</v>
      </c>
      <c r="E31" s="294" t="s">
        <v>181</v>
      </c>
      <c r="F31" s="40"/>
      <c r="G31" s="39"/>
      <c r="H31" s="35"/>
    </row>
    <row r="32" spans="1:8" s="11" customFormat="1" x14ac:dyDescent="0.25">
      <c r="A32" s="39"/>
      <c r="B32" s="510" t="s">
        <v>8</v>
      </c>
      <c r="C32" s="510"/>
      <c r="D32" s="510"/>
      <c r="E32" s="510"/>
      <c r="F32" s="510"/>
      <c r="G32" s="510"/>
      <c r="H32" s="35"/>
    </row>
    <row r="33" spans="1:8" s="11" customFormat="1" ht="18" customHeight="1" x14ac:dyDescent="0.25">
      <c r="A33" s="176"/>
      <c r="B33" s="176"/>
      <c r="C33" s="177" t="s">
        <v>97</v>
      </c>
      <c r="D33" s="178">
        <f>SUM(D27+D29)</f>
        <v>3500</v>
      </c>
      <c r="E33" s="179" t="s">
        <v>3</v>
      </c>
      <c r="F33" s="176"/>
      <c r="G33" s="176"/>
      <c r="H33" s="180"/>
    </row>
    <row r="34" spans="1:8" s="11" customFormat="1" ht="12.75" customHeight="1" x14ac:dyDescent="0.25">
      <c r="A34" s="23"/>
      <c r="B34" s="23"/>
      <c r="C34" s="23"/>
      <c r="D34" s="23"/>
      <c r="E34" s="23"/>
      <c r="F34" s="23"/>
      <c r="G34" s="23"/>
      <c r="H34" s="23"/>
    </row>
    <row r="35" spans="1:8" s="11" customFormat="1" ht="12.75" customHeight="1" x14ac:dyDescent="0.25">
      <c r="A35" s="23"/>
      <c r="B35" s="23"/>
      <c r="C35" s="23"/>
      <c r="D35" s="23"/>
      <c r="E35" s="23"/>
      <c r="F35" s="23"/>
      <c r="G35" s="23"/>
      <c r="H35" s="23"/>
    </row>
    <row r="36" spans="1:8" s="11" customFormat="1" ht="12.75" customHeight="1" x14ac:dyDescent="0.25">
      <c r="A36" s="23"/>
      <c r="B36" s="23"/>
      <c r="C36" s="23"/>
      <c r="D36" s="23"/>
      <c r="E36" s="23"/>
      <c r="F36" s="23"/>
      <c r="G36" s="23"/>
      <c r="H36" s="23"/>
    </row>
    <row r="37" spans="1:8" s="11" customFormat="1" ht="17.399999999999999" x14ac:dyDescent="0.25">
      <c r="A37" s="23"/>
      <c r="B37" s="23"/>
      <c r="C37" s="23"/>
      <c r="D37" s="23"/>
      <c r="E37" s="23"/>
      <c r="F37" s="23"/>
      <c r="G37" s="23"/>
      <c r="H37" s="223" t="s">
        <v>9</v>
      </c>
    </row>
    <row r="38" spans="1:8" s="11" customFormat="1" ht="12.75" customHeight="1" x14ac:dyDescent="0.25">
      <c r="A38" s="13"/>
      <c r="B38" s="13"/>
      <c r="C38" s="13"/>
      <c r="D38" s="13"/>
      <c r="E38" s="13"/>
      <c r="F38" s="13"/>
      <c r="G38" s="13"/>
      <c r="H38" s="13"/>
    </row>
    <row r="39" spans="1:8" s="11" customFormat="1" ht="12.75" customHeight="1" x14ac:dyDescent="0.25">
      <c r="A39" s="13"/>
      <c r="B39" s="13"/>
      <c r="C39" s="13"/>
      <c r="D39" s="13"/>
      <c r="F39" s="13"/>
      <c r="G39" s="13"/>
      <c r="H39" s="224" t="s">
        <v>56</v>
      </c>
    </row>
    <row r="40" spans="1:8" ht="12.75" customHeight="1" x14ac:dyDescent="0.25">
      <c r="A40" s="13"/>
      <c r="B40" s="13"/>
      <c r="C40" s="13"/>
      <c r="D40" s="13"/>
      <c r="E40" s="13"/>
      <c r="F40" s="13"/>
      <c r="G40" s="13"/>
      <c r="H40" s="199" t="s">
        <v>55</v>
      </c>
    </row>
    <row r="41" spans="1:8" ht="12.75" customHeight="1" x14ac:dyDescent="0.25">
      <c r="A41" s="13"/>
      <c r="B41" s="13"/>
      <c r="C41" s="13"/>
      <c r="D41" s="13"/>
      <c r="E41" s="13"/>
      <c r="F41" s="13"/>
      <c r="G41" s="13"/>
      <c r="H41" s="246"/>
    </row>
    <row r="42" spans="1:8" ht="12.75" customHeight="1" x14ac:dyDescent="0.25">
      <c r="A42" s="13"/>
      <c r="B42" s="13"/>
      <c r="C42" s="13"/>
      <c r="D42" s="13"/>
      <c r="E42" s="13"/>
      <c r="F42" s="13"/>
      <c r="G42" s="13"/>
      <c r="H42" s="199" t="s">
        <v>57</v>
      </c>
    </row>
    <row r="43" spans="1:8" ht="12.75" customHeight="1" x14ac:dyDescent="0.25">
      <c r="A43" s="13"/>
      <c r="B43" s="13"/>
      <c r="C43" s="13"/>
      <c r="D43" s="13"/>
      <c r="E43" s="13"/>
      <c r="F43" s="13"/>
      <c r="G43" s="11"/>
      <c r="H43" s="199" t="s">
        <v>10</v>
      </c>
    </row>
    <row r="44" spans="1:8" ht="12.75" customHeight="1" x14ac:dyDescent="0.25">
      <c r="A44" s="13"/>
      <c r="B44" s="13"/>
      <c r="C44" s="13"/>
      <c r="D44" s="13"/>
      <c r="E44" s="13"/>
      <c r="F44" s="13"/>
      <c r="G44" s="11"/>
      <c r="H44" s="225" t="s">
        <v>7</v>
      </c>
    </row>
    <row r="45" spans="1:8" ht="12.75" customHeight="1" x14ac:dyDescent="0.25">
      <c r="A45" s="13"/>
      <c r="B45" s="13"/>
      <c r="C45" s="13"/>
      <c r="D45" s="13"/>
      <c r="E45" s="13"/>
      <c r="F45" s="13"/>
      <c r="G45" s="11"/>
      <c r="H45" s="225"/>
    </row>
    <row r="46" spans="1:8" ht="21" customHeight="1" x14ac:dyDescent="0.3">
      <c r="B46" s="15" t="s">
        <v>16</v>
      </c>
      <c r="C46" s="508"/>
      <c r="D46" s="508"/>
      <c r="E46" s="508"/>
      <c r="F46" s="508"/>
      <c r="G46" s="508"/>
      <c r="H46" s="508"/>
    </row>
    <row r="47" spans="1:8" ht="21" customHeight="1" x14ac:dyDescent="0.25">
      <c r="B47" s="13"/>
      <c r="C47" s="509"/>
      <c r="D47" s="509"/>
      <c r="E47" s="509"/>
      <c r="F47" s="509"/>
      <c r="G47" s="509"/>
      <c r="H47" s="509"/>
    </row>
    <row r="48" spans="1:8" ht="21" customHeight="1" x14ac:dyDescent="0.25">
      <c r="C48" s="509"/>
      <c r="D48" s="509"/>
      <c r="E48" s="509"/>
      <c r="F48" s="509"/>
      <c r="G48" s="509"/>
      <c r="H48" s="509"/>
    </row>
  </sheetData>
  <sheetProtection selectLockedCells="1"/>
  <mergeCells count="10">
    <mergeCell ref="B32:G32"/>
    <mergeCell ref="C46:H46"/>
    <mergeCell ref="C47:H47"/>
    <mergeCell ref="C48:H48"/>
    <mergeCell ref="A1:H1"/>
    <mergeCell ref="B8:F8"/>
    <mergeCell ref="E10:F10"/>
    <mergeCell ref="E11:F11"/>
    <mergeCell ref="E21:F21"/>
    <mergeCell ref="E22:F22"/>
  </mergeCells>
  <dataValidations disablePrompts="1" count="3">
    <dataValidation type="list" allowBlank="1" showInputMessage="1" showErrorMessage="1" sqref="E7" xr:uid="{00000000-0002-0000-2800-000000000000}">
      <formula1>$C$12:$C$13</formula1>
    </dataValidation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4" xr:uid="{00000000-0002-0000-2800-000001000000}">
      <formula1>0</formula1>
      <formula2>100</formula2>
    </dataValidation>
    <dataValidation type="whole" errorStyle="warning" allowBlank="1" showInputMessage="1" showErrorMessage="1" errorTitle="Waste Allowance" error="Based upon our experience waste factors less than 5% may result in a shortage of product delivered to site.  " sqref="F4" xr:uid="{00000000-0002-0000-2800-000002000000}">
      <formula1>0</formula1>
      <formula2>100</formula2>
    </dataValidation>
  </dataValidations>
  <hyperlinks>
    <hyperlink ref="H43" r:id="rId1" xr:uid="{00000000-0004-0000-2800-000000000000}"/>
    <hyperlink ref="H40" r:id="rId2" xr:uid="{00000000-0004-0000-2800-000001000000}"/>
    <hyperlink ref="H42" r:id="rId3" xr:uid="{00000000-0004-0000-28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4">
    <tabColor theme="9"/>
  </sheetPr>
  <dimension ref="A1:N43"/>
  <sheetViews>
    <sheetView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494" t="s">
        <v>211</v>
      </c>
      <c r="B1" s="494"/>
      <c r="C1" s="494"/>
      <c r="D1" s="494"/>
      <c r="E1" s="494"/>
      <c r="F1" s="494"/>
      <c r="G1" s="494"/>
      <c r="H1" s="494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2"/>
      <c r="C3" s="43"/>
      <c r="D3" s="133" t="s">
        <v>87</v>
      </c>
      <c r="E3" s="136">
        <v>200</v>
      </c>
      <c r="F3" s="158"/>
      <c r="G3" s="2"/>
      <c r="H3" s="3"/>
    </row>
    <row r="4" spans="1:8" ht="18" customHeight="1" x14ac:dyDescent="0.3">
      <c r="A4" s="22"/>
      <c r="B4" s="42"/>
      <c r="C4" s="43"/>
      <c r="D4" s="134" t="s">
        <v>13</v>
      </c>
      <c r="E4" s="137">
        <v>0</v>
      </c>
      <c r="F4" s="159"/>
      <c r="G4" s="160"/>
      <c r="H4" s="160"/>
    </row>
    <row r="5" spans="1:8" ht="18" customHeight="1" x14ac:dyDescent="0.3">
      <c r="A5" s="22"/>
      <c r="B5" s="42"/>
      <c r="C5" s="43"/>
      <c r="D5" s="134" t="s">
        <v>86</v>
      </c>
      <c r="E5" s="346">
        <f>E3+E3*E4/100</f>
        <v>200</v>
      </c>
      <c r="F5" s="16"/>
      <c r="G5" s="160"/>
      <c r="H5" s="160"/>
    </row>
    <row r="6" spans="1:8" ht="18" customHeight="1" x14ac:dyDescent="0.3">
      <c r="A6" s="22"/>
      <c r="B6" s="30"/>
      <c r="C6" s="31"/>
      <c r="D6" s="135" t="s">
        <v>77</v>
      </c>
      <c r="E6" s="197">
        <v>50</v>
      </c>
      <c r="F6" s="158"/>
      <c r="G6" s="2"/>
      <c r="H6" s="3"/>
    </row>
    <row r="7" spans="1:8" ht="18" customHeight="1" x14ac:dyDescent="0.25">
      <c r="A7" s="22"/>
      <c r="B7" s="25"/>
      <c r="C7" s="25"/>
      <c r="D7" s="25"/>
      <c r="E7" s="22"/>
      <c r="F7" s="22"/>
      <c r="G7" s="160"/>
      <c r="H7" s="160"/>
    </row>
    <row r="8" spans="1:8" ht="18" customHeight="1" thickBot="1" x14ac:dyDescent="0.35">
      <c r="A8" s="22"/>
      <c r="B8" s="300" t="s">
        <v>100</v>
      </c>
      <c r="C8" s="301"/>
      <c r="D8" s="161"/>
      <c r="E8" s="495" t="s">
        <v>99</v>
      </c>
      <c r="F8" s="496"/>
      <c r="G8" s="174" t="s">
        <v>110</v>
      </c>
      <c r="H8" s="1"/>
    </row>
    <row r="9" spans="1:8" ht="18" customHeight="1" thickTop="1" x14ac:dyDescent="0.3">
      <c r="A9" s="22"/>
      <c r="B9" s="275" t="s">
        <v>101</v>
      </c>
      <c r="C9" s="276">
        <f>E5</f>
        <v>200</v>
      </c>
      <c r="D9" s="161"/>
      <c r="E9" s="497" t="s">
        <v>169</v>
      </c>
      <c r="F9" s="498"/>
      <c r="G9" s="175">
        <f>E6</f>
        <v>50</v>
      </c>
      <c r="H9" s="1"/>
    </row>
    <row r="10" spans="1:8" ht="18" customHeight="1" x14ac:dyDescent="0.25">
      <c r="A10" s="22"/>
      <c r="B10" s="279" t="s">
        <v>112</v>
      </c>
      <c r="C10" s="296">
        <v>100</v>
      </c>
      <c r="D10" s="161"/>
      <c r="E10" s="499" t="s">
        <v>109</v>
      </c>
      <c r="F10" s="500"/>
      <c r="G10" s="503">
        <v>5</v>
      </c>
      <c r="H10" s="162"/>
    </row>
    <row r="11" spans="1:8" ht="18" customHeight="1" thickBot="1" x14ac:dyDescent="0.3">
      <c r="A11" s="22"/>
      <c r="B11" s="302" t="s">
        <v>111</v>
      </c>
      <c r="C11" s="303">
        <v>5</v>
      </c>
      <c r="D11" s="161"/>
      <c r="E11" s="501"/>
      <c r="F11" s="502"/>
      <c r="G11" s="504"/>
      <c r="H11" s="162"/>
    </row>
    <row r="12" spans="1:8" ht="18" customHeight="1" thickTop="1" thickBot="1" x14ac:dyDescent="0.3">
      <c r="A12" s="22"/>
      <c r="B12" s="283" t="s">
        <v>69</v>
      </c>
      <c r="C12" s="284">
        <f>IF(MOD(C9,C10)&lt;=65,ROUNDDOWN(+E5/C10,0),ROUNDUP(+E5/C10,0))</f>
        <v>2</v>
      </c>
      <c r="D12" s="161"/>
      <c r="E12" s="505" t="s">
        <v>108</v>
      </c>
      <c r="F12" s="506"/>
      <c r="G12" s="284">
        <f>ROUNDUP(E6/G10,0)</f>
        <v>10</v>
      </c>
      <c r="H12" s="162"/>
    </row>
    <row r="13" spans="1:8" ht="18" customHeight="1" thickTop="1" x14ac:dyDescent="0.25">
      <c r="A13" s="22"/>
      <c r="B13" s="285" t="s">
        <v>113</v>
      </c>
      <c r="C13" s="284">
        <f>IF(ROUNDUP((C9-(C10*C12)),0)&lt;0,0,ROUNDUP((C9-(C10*C12))/C11,0))</f>
        <v>0</v>
      </c>
      <c r="D13" s="161"/>
      <c r="E13" s="507" t="s">
        <v>76</v>
      </c>
      <c r="F13" s="507"/>
      <c r="G13" s="286">
        <v>50</v>
      </c>
    </row>
    <row r="14" spans="1:8" ht="18" customHeight="1" x14ac:dyDescent="0.25">
      <c r="A14" s="22"/>
      <c r="B14" s="287" t="s">
        <v>71</v>
      </c>
      <c r="C14" s="78">
        <v>1684</v>
      </c>
      <c r="D14" s="161"/>
      <c r="E14" s="161"/>
      <c r="F14" s="161"/>
      <c r="G14" s="161"/>
    </row>
    <row r="15" spans="1:8" ht="18" customHeight="1" x14ac:dyDescent="0.25">
      <c r="A15" s="22"/>
      <c r="B15" s="217" t="s">
        <v>114</v>
      </c>
      <c r="C15" s="157">
        <v>68</v>
      </c>
      <c r="D15" s="161"/>
      <c r="E15" s="161"/>
      <c r="F15" s="161"/>
      <c r="G15" s="161"/>
    </row>
    <row r="16" spans="1:8" ht="18" customHeight="1" x14ac:dyDescent="0.25">
      <c r="A16" s="22"/>
      <c r="B16" s="217"/>
      <c r="C16" s="157"/>
      <c r="D16" s="161"/>
      <c r="E16" s="161"/>
      <c r="F16" s="161"/>
      <c r="G16" s="161"/>
    </row>
    <row r="17" spans="1:14" ht="18" customHeight="1" x14ac:dyDescent="0.25">
      <c r="A17" s="176"/>
      <c r="B17" s="176"/>
      <c r="C17" s="177" t="s">
        <v>115</v>
      </c>
      <c r="D17" s="178">
        <f>(C12*C10)+(C13*C11)</f>
        <v>200</v>
      </c>
      <c r="E17" s="179" t="s">
        <v>212</v>
      </c>
      <c r="F17" s="176"/>
      <c r="G17" s="176"/>
      <c r="H17" s="176"/>
    </row>
    <row r="18" spans="1:14" ht="18" customHeight="1" x14ac:dyDescent="0.25">
      <c r="A18" s="176"/>
      <c r="B18" s="176"/>
      <c r="C18" s="177" t="s">
        <v>102</v>
      </c>
      <c r="D18" s="178">
        <f>(C12*C14)+(C13*C15)</f>
        <v>3368</v>
      </c>
      <c r="E18" s="179" t="s">
        <v>3</v>
      </c>
      <c r="F18" s="176"/>
      <c r="G18" s="176"/>
      <c r="H18" s="176"/>
    </row>
    <row r="19" spans="1:14" ht="18" customHeight="1" x14ac:dyDescent="0.3">
      <c r="A19" s="288"/>
      <c r="B19" s="288"/>
      <c r="C19" s="289" t="s">
        <v>98</v>
      </c>
      <c r="D19" s="290">
        <f>G10*G12</f>
        <v>50</v>
      </c>
      <c r="E19" s="291" t="s">
        <v>213</v>
      </c>
      <c r="F19" s="292"/>
      <c r="G19" s="288"/>
      <c r="H19" s="293"/>
    </row>
    <row r="20" spans="1:14" ht="18" customHeight="1" x14ac:dyDescent="0.3">
      <c r="A20" s="288"/>
      <c r="B20" s="288"/>
      <c r="C20" s="289" t="s">
        <v>103</v>
      </c>
      <c r="D20" s="290">
        <f>G12*G13</f>
        <v>500</v>
      </c>
      <c r="E20" s="291" t="s">
        <v>3</v>
      </c>
      <c r="F20" s="292"/>
      <c r="G20" s="288"/>
      <c r="H20" s="293"/>
    </row>
    <row r="21" spans="1:14" ht="18" customHeight="1" x14ac:dyDescent="0.25">
      <c r="A21" s="39"/>
      <c r="B21" s="39"/>
      <c r="C21" s="69" t="s">
        <v>95</v>
      </c>
      <c r="D21" s="70">
        <f>ROUND(+E5/25,0)</f>
        <v>8</v>
      </c>
      <c r="E21" s="294" t="s">
        <v>170</v>
      </c>
      <c r="F21" s="40"/>
      <c r="G21" s="39"/>
      <c r="H21" s="35"/>
    </row>
    <row r="22" spans="1:14" ht="12.75" customHeight="1" x14ac:dyDescent="0.25">
      <c r="A22" s="39"/>
      <c r="B22" s="487" t="s">
        <v>8</v>
      </c>
      <c r="C22" s="487"/>
      <c r="D22" s="487"/>
      <c r="E22" s="487"/>
      <c r="F22" s="487"/>
      <c r="G22" s="487"/>
      <c r="H22" s="35"/>
    </row>
    <row r="23" spans="1:14" ht="18" customHeight="1" x14ac:dyDescent="0.25">
      <c r="A23" s="176"/>
      <c r="B23" s="176"/>
      <c r="C23" s="177" t="s">
        <v>96</v>
      </c>
      <c r="D23" s="178">
        <f>SUM(D18+D20)</f>
        <v>3868</v>
      </c>
      <c r="E23" s="179" t="s">
        <v>3</v>
      </c>
      <c r="F23" s="176"/>
      <c r="G23" s="176"/>
      <c r="H23" s="176"/>
    </row>
    <row r="24" spans="1:14" ht="12.75" customHeight="1" x14ac:dyDescent="0.25"/>
    <row r="25" spans="1:14" ht="12.75" customHeight="1" x14ac:dyDescent="0.25">
      <c r="K25" s="11"/>
      <c r="L25" s="11"/>
      <c r="M25" s="11"/>
      <c r="N25" s="11"/>
    </row>
    <row r="26" spans="1:14" ht="12.75" customHeight="1" x14ac:dyDescent="0.25">
      <c r="K26" s="11"/>
      <c r="L26" s="11"/>
      <c r="M26" s="11"/>
      <c r="N26" s="11"/>
    </row>
    <row r="27" spans="1:14" ht="18" customHeight="1" x14ac:dyDescent="0.25">
      <c r="H27" s="223" t="s">
        <v>9</v>
      </c>
      <c r="K27" s="11"/>
      <c r="L27" s="11"/>
      <c r="M27" s="11"/>
      <c r="N27" s="11"/>
    </row>
    <row r="28" spans="1:14" s="11" customFormat="1" ht="12.75" customHeight="1" x14ac:dyDescent="0.25">
      <c r="A28" s="13"/>
      <c r="B28" s="13"/>
      <c r="C28" s="13"/>
      <c r="D28" s="13"/>
      <c r="E28" s="13"/>
      <c r="F28" s="13"/>
      <c r="G28" s="13"/>
      <c r="H28" s="13"/>
    </row>
    <row r="29" spans="1:14" s="11" customFormat="1" ht="12.75" customHeight="1" x14ac:dyDescent="0.25">
      <c r="A29" s="13"/>
      <c r="B29" s="13"/>
      <c r="C29" s="13"/>
      <c r="D29" s="13"/>
      <c r="F29" s="13"/>
      <c r="G29" s="13"/>
      <c r="H29" s="224" t="s">
        <v>56</v>
      </c>
    </row>
    <row r="30" spans="1:14" s="11" customFormat="1" ht="12.75" customHeight="1" x14ac:dyDescent="0.25">
      <c r="A30" s="13"/>
      <c r="B30" s="13"/>
      <c r="C30" s="13"/>
      <c r="D30" s="13"/>
      <c r="E30" s="13"/>
      <c r="F30" s="13"/>
      <c r="G30" s="13"/>
      <c r="H30" s="199" t="s">
        <v>55</v>
      </c>
    </row>
    <row r="31" spans="1:14" s="11" customFormat="1" ht="12.75" customHeight="1" x14ac:dyDescent="0.25">
      <c r="A31" s="13"/>
      <c r="B31" s="13"/>
      <c r="C31" s="13"/>
      <c r="D31" s="13"/>
      <c r="E31" s="13"/>
      <c r="F31" s="13"/>
      <c r="G31" s="13"/>
      <c r="H31" s="246"/>
    </row>
    <row r="32" spans="1:14" s="11" customFormat="1" ht="12.75" customHeight="1" x14ac:dyDescent="0.25">
      <c r="A32" s="13"/>
      <c r="B32" s="13"/>
      <c r="C32" s="13"/>
      <c r="D32" s="13"/>
      <c r="E32" s="13"/>
      <c r="F32" s="13"/>
      <c r="G32" s="13"/>
      <c r="H32" s="199" t="s">
        <v>57</v>
      </c>
    </row>
    <row r="33" spans="1:8" s="11" customFormat="1" ht="12.75" customHeight="1" x14ac:dyDescent="0.25">
      <c r="A33" s="13"/>
      <c r="B33" s="13"/>
      <c r="C33" s="13"/>
      <c r="D33" s="13"/>
      <c r="E33" s="13"/>
      <c r="F33" s="13"/>
      <c r="H33" s="199" t="s">
        <v>10</v>
      </c>
    </row>
    <row r="34" spans="1:8" s="11" customFormat="1" ht="12.75" customHeight="1" x14ac:dyDescent="0.25">
      <c r="A34" s="13"/>
      <c r="B34" s="13"/>
      <c r="C34" s="13"/>
      <c r="D34" s="13"/>
      <c r="E34" s="13"/>
      <c r="F34" s="13"/>
      <c r="H34" s="225" t="s">
        <v>7</v>
      </c>
    </row>
    <row r="35" spans="1:8" s="11" customFormat="1" ht="12.75" customHeight="1" x14ac:dyDescent="0.25">
      <c r="A35" s="13"/>
      <c r="B35" s="13"/>
      <c r="C35" s="13"/>
      <c r="D35" s="13"/>
      <c r="E35" s="13"/>
      <c r="F35" s="13"/>
      <c r="H35" s="225"/>
    </row>
    <row r="36" spans="1:8" s="11" customFormat="1" ht="12.75" customHeight="1" x14ac:dyDescent="0.25">
      <c r="A36" s="13"/>
      <c r="B36" s="13"/>
      <c r="C36" s="13"/>
      <c r="D36" s="13"/>
      <c r="E36" s="13"/>
      <c r="F36" s="13"/>
      <c r="H36" s="225"/>
    </row>
    <row r="37" spans="1:8" s="11" customFormat="1" ht="12.75" customHeight="1" x14ac:dyDescent="0.25">
      <c r="A37" s="13"/>
      <c r="B37" s="13"/>
      <c r="C37" s="13"/>
      <c r="D37" s="13"/>
      <c r="E37" s="13"/>
      <c r="F37" s="13"/>
      <c r="H37" s="225"/>
    </row>
    <row r="38" spans="1:8" s="11" customFormat="1" ht="12.75" customHeight="1" x14ac:dyDescent="0.25">
      <c r="A38" s="13"/>
      <c r="B38" s="13"/>
      <c r="C38" s="13"/>
      <c r="D38" s="13"/>
      <c r="E38" s="13"/>
      <c r="F38" s="13"/>
      <c r="H38" s="225"/>
    </row>
    <row r="39" spans="1:8" s="11" customFormat="1" ht="12.75" customHeight="1" x14ac:dyDescent="0.25">
      <c r="A39" s="13"/>
      <c r="B39" s="13"/>
      <c r="C39" s="13"/>
      <c r="D39" s="13"/>
      <c r="E39" s="13"/>
      <c r="F39" s="13"/>
      <c r="H39" s="225"/>
    </row>
    <row r="40" spans="1:8" s="11" customFormat="1" ht="12.75" customHeight="1" x14ac:dyDescent="0.25">
      <c r="A40" s="13"/>
      <c r="B40" s="13"/>
      <c r="C40" s="13"/>
      <c r="D40" s="13"/>
      <c r="E40" s="13"/>
      <c r="F40" s="13"/>
      <c r="H40" s="225"/>
    </row>
    <row r="41" spans="1:8" ht="21" customHeight="1" x14ac:dyDescent="0.3">
      <c r="B41" s="15" t="s">
        <v>16</v>
      </c>
      <c r="C41" s="114"/>
      <c r="D41" s="114"/>
      <c r="E41" s="114"/>
      <c r="F41" s="114"/>
      <c r="G41" s="246"/>
      <c r="H41" s="246"/>
    </row>
    <row r="42" spans="1:8" ht="21" customHeight="1" x14ac:dyDescent="0.25">
      <c r="B42" s="13"/>
      <c r="C42" s="112"/>
      <c r="D42" s="112"/>
      <c r="E42" s="112"/>
      <c r="F42" s="112"/>
      <c r="G42" s="112"/>
      <c r="H42" s="112"/>
    </row>
    <row r="43" spans="1:8" ht="21" customHeight="1" x14ac:dyDescent="0.25">
      <c r="C43" s="114"/>
      <c r="D43" s="114"/>
      <c r="E43" s="114"/>
      <c r="F43" s="114"/>
      <c r="G43" s="114"/>
      <c r="H43" s="114"/>
    </row>
  </sheetData>
  <sheetProtection selectLockedCells="1"/>
  <mergeCells count="8">
    <mergeCell ref="E13:F13"/>
    <mergeCell ref="B22:G22"/>
    <mergeCell ref="A1:H1"/>
    <mergeCell ref="E8:F8"/>
    <mergeCell ref="E9:F9"/>
    <mergeCell ref="E10:F11"/>
    <mergeCell ref="G10:G11"/>
    <mergeCell ref="E12:F12"/>
  </mergeCells>
  <dataValidations count="2">
    <dataValidation type="whole" errorStyle="warning" allowBlank="1" showInputMessage="1" showErrorMessage="1" errorTitle="Waste Allowance" error="Based upon our experience waste factors less than 5% may result in a shortage of product delivered to site.  " sqref="F4" xr:uid="{00000000-0002-0000-2900-000000000000}">
      <formula1>0</formula1>
      <formula2>100</formula2>
    </dataValidation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4" xr:uid="{00000000-0002-0000-2900-000001000000}">
      <formula1>0</formula1>
      <formula2>100</formula2>
    </dataValidation>
  </dataValidations>
  <hyperlinks>
    <hyperlink ref="H32" r:id="rId1" xr:uid="{00000000-0004-0000-2900-000000000000}"/>
    <hyperlink ref="H30" r:id="rId2" xr:uid="{00000000-0004-0000-2900-000001000000}"/>
    <hyperlink ref="H33" r:id="rId3" xr:uid="{00000000-0004-0000-29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5">
    <tabColor theme="8"/>
  </sheetPr>
  <dimension ref="A1:UL59"/>
  <sheetViews>
    <sheetView showGridLines="0" showRowColHeaders="0"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558" s="314" customFormat="1" ht="24" customHeight="1" x14ac:dyDescent="0.25">
      <c r="A1" s="485" t="s">
        <v>191</v>
      </c>
      <c r="B1" s="485"/>
      <c r="C1" s="485"/>
      <c r="D1" s="485"/>
      <c r="E1" s="485"/>
      <c r="F1" s="485"/>
      <c r="G1" s="485"/>
      <c r="H1" s="485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  <c r="JD1" s="23"/>
      <c r="JE1" s="23"/>
      <c r="JF1" s="23"/>
      <c r="JG1" s="23"/>
      <c r="JH1" s="23"/>
      <c r="JI1" s="23"/>
      <c r="JJ1" s="23"/>
      <c r="JK1" s="23"/>
      <c r="JL1" s="23"/>
      <c r="JM1" s="23"/>
      <c r="JN1" s="23"/>
      <c r="JO1" s="23"/>
      <c r="JP1" s="23"/>
      <c r="JQ1" s="23"/>
      <c r="JR1" s="23"/>
      <c r="JS1" s="23"/>
      <c r="JT1" s="23"/>
      <c r="JU1" s="23"/>
      <c r="JV1" s="23"/>
      <c r="JW1" s="23"/>
      <c r="JX1" s="23"/>
      <c r="JY1" s="23"/>
      <c r="JZ1" s="23"/>
      <c r="KA1" s="23"/>
      <c r="KB1" s="23"/>
      <c r="KC1" s="23"/>
      <c r="KD1" s="23"/>
      <c r="KE1" s="23"/>
      <c r="KF1" s="23"/>
      <c r="KG1" s="23"/>
      <c r="KH1" s="23"/>
      <c r="KI1" s="23"/>
      <c r="KJ1" s="23"/>
      <c r="KK1" s="23"/>
      <c r="KL1" s="23"/>
      <c r="KM1" s="23"/>
      <c r="KN1" s="23"/>
      <c r="KO1" s="23"/>
      <c r="KP1" s="23"/>
      <c r="KQ1" s="23"/>
      <c r="KR1" s="23"/>
      <c r="KS1" s="23"/>
      <c r="KT1" s="23"/>
      <c r="KU1" s="23"/>
      <c r="KV1" s="23"/>
      <c r="KW1" s="23"/>
      <c r="KX1" s="23"/>
      <c r="KY1" s="23"/>
      <c r="KZ1" s="23"/>
      <c r="LA1" s="23"/>
      <c r="LB1" s="23"/>
      <c r="LC1" s="23"/>
      <c r="LD1" s="23"/>
      <c r="LE1" s="23"/>
      <c r="LF1" s="23"/>
      <c r="LG1" s="23"/>
      <c r="LH1" s="23"/>
      <c r="LI1" s="23"/>
      <c r="LJ1" s="23"/>
      <c r="LK1" s="23"/>
      <c r="LL1" s="23"/>
      <c r="LM1" s="23"/>
      <c r="LN1" s="23"/>
      <c r="LO1" s="23"/>
      <c r="LP1" s="23"/>
      <c r="LQ1" s="23"/>
      <c r="LR1" s="23"/>
      <c r="LS1" s="23"/>
      <c r="LT1" s="23"/>
      <c r="LU1" s="23"/>
      <c r="LV1" s="23"/>
      <c r="LW1" s="23"/>
      <c r="LX1" s="23"/>
      <c r="LY1" s="23"/>
      <c r="LZ1" s="23"/>
      <c r="MA1" s="23"/>
      <c r="MB1" s="23"/>
      <c r="MC1" s="23"/>
      <c r="MD1" s="23"/>
      <c r="ME1" s="23"/>
      <c r="MF1" s="23"/>
      <c r="MG1" s="23"/>
      <c r="MH1" s="23"/>
      <c r="MI1" s="23"/>
      <c r="MJ1" s="23"/>
      <c r="MK1" s="23"/>
      <c r="ML1" s="23"/>
      <c r="MM1" s="23"/>
      <c r="MN1" s="23"/>
      <c r="MO1" s="23"/>
      <c r="MP1" s="23"/>
      <c r="MQ1" s="23"/>
      <c r="MR1" s="23"/>
      <c r="MS1" s="23"/>
      <c r="MT1" s="23"/>
      <c r="MU1" s="23"/>
      <c r="MV1" s="23"/>
      <c r="MW1" s="23"/>
      <c r="MX1" s="23"/>
      <c r="MY1" s="23"/>
      <c r="MZ1" s="23"/>
      <c r="NA1" s="23"/>
      <c r="NB1" s="23"/>
      <c r="NC1" s="23"/>
      <c r="ND1" s="23"/>
      <c r="NE1" s="23"/>
      <c r="NF1" s="23"/>
      <c r="NG1" s="23"/>
      <c r="NH1" s="23"/>
      <c r="NI1" s="23"/>
      <c r="NJ1" s="23"/>
      <c r="NK1" s="23"/>
      <c r="NL1" s="23"/>
      <c r="NM1" s="23"/>
      <c r="NN1" s="23"/>
      <c r="NO1" s="23"/>
      <c r="NP1" s="23"/>
      <c r="NQ1" s="23"/>
      <c r="NR1" s="23"/>
      <c r="NS1" s="23"/>
      <c r="NT1" s="23"/>
      <c r="NU1" s="23"/>
      <c r="NV1" s="23"/>
      <c r="NW1" s="23"/>
      <c r="NX1" s="23"/>
      <c r="NY1" s="23"/>
      <c r="NZ1" s="23"/>
      <c r="OA1" s="23"/>
      <c r="OB1" s="23"/>
      <c r="OC1" s="23"/>
      <c r="OD1" s="23"/>
      <c r="OE1" s="23"/>
      <c r="OF1" s="23"/>
      <c r="OG1" s="23"/>
      <c r="OH1" s="23"/>
      <c r="OI1" s="23"/>
      <c r="OJ1" s="23"/>
      <c r="OK1" s="23"/>
      <c r="OL1" s="23"/>
      <c r="OM1" s="23"/>
      <c r="ON1" s="23"/>
      <c r="OO1" s="23"/>
      <c r="OP1" s="23"/>
      <c r="OQ1" s="23"/>
      <c r="OR1" s="23"/>
      <c r="OS1" s="23"/>
      <c r="OT1" s="23"/>
      <c r="OU1" s="23"/>
      <c r="OV1" s="23"/>
      <c r="OW1" s="23"/>
      <c r="OX1" s="23"/>
      <c r="OY1" s="23"/>
      <c r="OZ1" s="23"/>
      <c r="PA1" s="23"/>
      <c r="PB1" s="23"/>
      <c r="PC1" s="23"/>
      <c r="PD1" s="23"/>
      <c r="PE1" s="23"/>
      <c r="PF1" s="23"/>
      <c r="PG1" s="23"/>
      <c r="PH1" s="23"/>
      <c r="PI1" s="23"/>
      <c r="PJ1" s="23"/>
      <c r="PK1" s="23"/>
      <c r="PL1" s="23"/>
      <c r="PM1" s="23"/>
      <c r="PN1" s="23"/>
      <c r="PO1" s="23"/>
      <c r="PP1" s="23"/>
      <c r="PQ1" s="23"/>
      <c r="PR1" s="23"/>
      <c r="PS1" s="23"/>
      <c r="PT1" s="23"/>
      <c r="PU1" s="23"/>
      <c r="PV1" s="23"/>
      <c r="PW1" s="23"/>
      <c r="PX1" s="23"/>
      <c r="PY1" s="23"/>
      <c r="PZ1" s="23"/>
      <c r="QA1" s="23"/>
      <c r="QB1" s="23"/>
      <c r="QC1" s="23"/>
      <c r="QD1" s="23"/>
      <c r="QE1" s="23"/>
      <c r="QF1" s="23"/>
      <c r="QG1" s="23"/>
      <c r="QH1" s="23"/>
      <c r="QI1" s="23"/>
      <c r="QJ1" s="23"/>
      <c r="QK1" s="23"/>
      <c r="QL1" s="23"/>
      <c r="QM1" s="23"/>
      <c r="QN1" s="23"/>
      <c r="QO1" s="23"/>
      <c r="QP1" s="23"/>
      <c r="QQ1" s="23"/>
      <c r="QR1" s="23"/>
      <c r="QS1" s="23"/>
      <c r="QT1" s="23"/>
      <c r="QU1" s="23"/>
      <c r="QV1" s="23"/>
      <c r="QW1" s="23"/>
      <c r="QX1" s="23"/>
      <c r="QY1" s="23"/>
      <c r="QZ1" s="23"/>
      <c r="RA1" s="23"/>
      <c r="RB1" s="23"/>
      <c r="RC1" s="23"/>
      <c r="RD1" s="23"/>
      <c r="RE1" s="23"/>
      <c r="RF1" s="23"/>
      <c r="RG1" s="23"/>
      <c r="RH1" s="23"/>
      <c r="RI1" s="23"/>
      <c r="RJ1" s="23"/>
      <c r="RK1" s="23"/>
      <c r="RL1" s="23"/>
      <c r="RM1" s="23"/>
      <c r="RN1" s="23"/>
      <c r="RO1" s="23"/>
      <c r="RP1" s="23"/>
      <c r="RQ1" s="23"/>
      <c r="RR1" s="23"/>
      <c r="RS1" s="23"/>
      <c r="RT1" s="23"/>
      <c r="RU1" s="23"/>
      <c r="RV1" s="23"/>
      <c r="RW1" s="23"/>
      <c r="RX1" s="23"/>
      <c r="RY1" s="23"/>
      <c r="RZ1" s="23"/>
      <c r="SA1" s="23"/>
      <c r="SB1" s="23"/>
      <c r="SC1" s="23"/>
      <c r="SD1" s="23"/>
      <c r="SE1" s="23"/>
      <c r="SF1" s="23"/>
      <c r="SG1" s="23"/>
      <c r="SH1" s="23"/>
      <c r="SI1" s="23"/>
      <c r="SJ1" s="23"/>
      <c r="SK1" s="23"/>
      <c r="SL1" s="23"/>
      <c r="SM1" s="23"/>
      <c r="SN1" s="23"/>
      <c r="SO1" s="23"/>
      <c r="SP1" s="23"/>
      <c r="SQ1" s="23"/>
      <c r="SR1" s="23"/>
      <c r="SS1" s="23"/>
      <c r="ST1" s="23"/>
      <c r="SU1" s="23"/>
      <c r="SV1" s="23"/>
      <c r="SW1" s="23"/>
      <c r="SX1" s="23"/>
      <c r="SY1" s="23"/>
      <c r="SZ1" s="23"/>
      <c r="TA1" s="23"/>
      <c r="TB1" s="23"/>
      <c r="TC1" s="23"/>
      <c r="TD1" s="23"/>
      <c r="TE1" s="23"/>
      <c r="TF1" s="23"/>
      <c r="TG1" s="23"/>
      <c r="TH1" s="23"/>
      <c r="TI1" s="23"/>
      <c r="TJ1" s="23"/>
      <c r="TK1" s="23"/>
      <c r="TL1" s="23"/>
      <c r="TM1" s="23"/>
      <c r="TN1" s="23"/>
      <c r="TO1" s="23"/>
      <c r="TP1" s="23"/>
      <c r="TQ1" s="23"/>
      <c r="TR1" s="23"/>
      <c r="TS1" s="23"/>
      <c r="TT1" s="23"/>
      <c r="TU1" s="23"/>
      <c r="TV1" s="23"/>
      <c r="TW1" s="23"/>
      <c r="TX1" s="23"/>
      <c r="TY1" s="23"/>
      <c r="TZ1" s="23"/>
      <c r="UA1" s="23"/>
      <c r="UB1" s="23"/>
      <c r="UC1" s="23"/>
      <c r="UD1" s="23"/>
      <c r="UE1" s="23"/>
      <c r="UF1" s="23"/>
      <c r="UG1" s="23"/>
      <c r="UH1" s="23"/>
      <c r="UI1" s="23"/>
      <c r="UJ1" s="23"/>
      <c r="UK1" s="23"/>
      <c r="UL1" s="23"/>
    </row>
    <row r="2" spans="1:558" ht="12.75" customHeight="1" x14ac:dyDescent="0.25">
      <c r="A2" s="22"/>
      <c r="B2" s="22"/>
      <c r="C2" s="22"/>
      <c r="D2" s="22"/>
      <c r="E2" s="22"/>
      <c r="F2" s="22"/>
      <c r="G2" s="22"/>
    </row>
    <row r="3" spans="1:558" ht="18" customHeight="1" x14ac:dyDescent="0.3">
      <c r="A3" s="22"/>
      <c r="B3" s="41"/>
      <c r="C3" s="36"/>
      <c r="D3" s="94" t="s">
        <v>87</v>
      </c>
      <c r="E3" s="96">
        <v>200</v>
      </c>
      <c r="F3" s="2"/>
      <c r="G3" s="2"/>
      <c r="H3" s="3"/>
    </row>
    <row r="4" spans="1:558" ht="18" customHeight="1" x14ac:dyDescent="0.3">
      <c r="A4" s="22"/>
      <c r="B4" s="35"/>
      <c r="C4" s="36"/>
      <c r="D4" s="95" t="s">
        <v>13</v>
      </c>
      <c r="E4" s="97">
        <v>0</v>
      </c>
      <c r="F4" s="2"/>
      <c r="G4" s="2"/>
      <c r="H4" s="3"/>
    </row>
    <row r="5" spans="1:558" ht="18" customHeight="1" x14ac:dyDescent="0.3">
      <c r="A5" s="22"/>
      <c r="B5" s="35"/>
      <c r="C5" s="36"/>
      <c r="D5" s="95" t="s">
        <v>86</v>
      </c>
      <c r="E5" s="344">
        <f>E3+E3*E4/100</f>
        <v>200</v>
      </c>
      <c r="F5" s="2"/>
      <c r="G5" s="2"/>
      <c r="H5" s="3"/>
    </row>
    <row r="6" spans="1:558" ht="12.75" customHeight="1" x14ac:dyDescent="0.25">
      <c r="A6" s="22"/>
      <c r="B6" s="9"/>
      <c r="C6" s="22"/>
      <c r="D6" s="22"/>
      <c r="E6" s="22"/>
      <c r="F6" s="22"/>
      <c r="G6" s="22"/>
    </row>
    <row r="7" spans="1:558" ht="18" customHeight="1" thickBot="1" x14ac:dyDescent="0.35">
      <c r="A7" s="22"/>
      <c r="B7" s="269" t="s">
        <v>0</v>
      </c>
      <c r="C7" s="101" t="s">
        <v>61</v>
      </c>
      <c r="D7" s="315" t="s">
        <v>62</v>
      </c>
      <c r="E7" s="253"/>
      <c r="F7" s="4"/>
      <c r="G7" s="4"/>
      <c r="H7" s="1"/>
    </row>
    <row r="8" spans="1:558" ht="18" customHeight="1" thickTop="1" x14ac:dyDescent="0.3">
      <c r="A8" s="22"/>
      <c r="B8" s="103" t="s">
        <v>11</v>
      </c>
      <c r="C8" s="88">
        <v>0.75</v>
      </c>
      <c r="D8" s="89">
        <v>0.25</v>
      </c>
      <c r="E8" s="74">
        <f>SUM(A8,B8,C8,D8)</f>
        <v>1</v>
      </c>
      <c r="F8" s="4"/>
      <c r="G8" s="4"/>
      <c r="H8" s="1"/>
    </row>
    <row r="9" spans="1:558" ht="18.75" hidden="1" customHeight="1" x14ac:dyDescent="0.25">
      <c r="A9" s="22"/>
      <c r="B9" s="51" t="s">
        <v>67</v>
      </c>
      <c r="C9" s="104">
        <v>0.89</v>
      </c>
      <c r="D9" s="105">
        <v>1.79</v>
      </c>
      <c r="E9" s="161"/>
      <c r="F9" s="22"/>
      <c r="G9" s="22"/>
    </row>
    <row r="10" spans="1:558" ht="12.75" customHeight="1" x14ac:dyDescent="0.3">
      <c r="A10" s="22"/>
      <c r="B10" s="50" t="s">
        <v>1</v>
      </c>
      <c r="C10" s="106">
        <f>+($E$5*C8)/C9</f>
        <v>168.53932584269663</v>
      </c>
      <c r="D10" s="107">
        <f>+($E$5*D8)/D9</f>
        <v>27.932960893854748</v>
      </c>
      <c r="E10" s="316"/>
      <c r="F10" s="22"/>
      <c r="G10" s="490" t="s">
        <v>90</v>
      </c>
      <c r="H10" s="490"/>
    </row>
    <row r="11" spans="1:558" ht="12.75" customHeight="1" x14ac:dyDescent="0.25">
      <c r="A11" s="22"/>
      <c r="B11" s="51" t="s">
        <v>68</v>
      </c>
      <c r="C11" s="104">
        <v>84</v>
      </c>
      <c r="D11" s="105">
        <v>39</v>
      </c>
      <c r="E11" s="317"/>
      <c r="F11" s="22"/>
      <c r="G11" s="490"/>
      <c r="H11" s="490"/>
    </row>
    <row r="12" spans="1:558" ht="12.75" customHeight="1" thickBot="1" x14ac:dyDescent="0.3">
      <c r="A12" s="22"/>
      <c r="B12" s="115" t="s">
        <v>84</v>
      </c>
      <c r="C12" s="318">
        <v>12</v>
      </c>
      <c r="D12" s="319">
        <v>13</v>
      </c>
      <c r="E12" s="317"/>
      <c r="F12" s="22"/>
      <c r="G12" s="490"/>
      <c r="H12" s="490"/>
    </row>
    <row r="13" spans="1:558" ht="18" hidden="1" customHeight="1" x14ac:dyDescent="0.25">
      <c r="A13" s="22"/>
      <c r="B13" s="116" t="s">
        <v>64</v>
      </c>
      <c r="C13" s="117">
        <v>12</v>
      </c>
      <c r="D13" s="118">
        <v>13</v>
      </c>
      <c r="E13" s="317"/>
      <c r="F13" s="22"/>
      <c r="G13" s="490"/>
      <c r="H13" s="490"/>
    </row>
    <row r="14" spans="1:558" ht="18" hidden="1" customHeight="1" thickBot="1" x14ac:dyDescent="0.3">
      <c r="A14" s="22"/>
      <c r="B14" s="116" t="s">
        <v>65</v>
      </c>
      <c r="C14" s="117">
        <v>12</v>
      </c>
      <c r="D14" s="118">
        <v>13</v>
      </c>
      <c r="E14" s="317"/>
      <c r="F14" s="22"/>
      <c r="G14" s="490"/>
      <c r="H14" s="490"/>
    </row>
    <row r="15" spans="1:558" ht="18" customHeight="1" thickBot="1" x14ac:dyDescent="0.3">
      <c r="A15" s="22"/>
      <c r="B15" s="139" t="s">
        <v>69</v>
      </c>
      <c r="C15" s="119">
        <f>IF(MOD(C10+C13,C11)&lt;=C13,1+ROUNDDOWN(C10/C11,0),ROUNDDOWN(C10/C11,0))</f>
        <v>2</v>
      </c>
      <c r="D15" s="120">
        <f>IF(MOD(D10+D13,D11)&lt;=D13,1+ROUNDDOWN(D10/D11,0),ROUNDDOWN(D10/D11,0))</f>
        <v>1</v>
      </c>
      <c r="E15" s="317"/>
      <c r="F15" s="22"/>
      <c r="G15" s="490"/>
      <c r="H15" s="490"/>
    </row>
    <row r="16" spans="1:558" ht="18" customHeight="1" thickBot="1" x14ac:dyDescent="0.3">
      <c r="A16" s="22"/>
      <c r="B16" s="121" t="s">
        <v>85</v>
      </c>
      <c r="C16" s="119">
        <f>IF(ROUNDUP((C10-(C11*C15))/C12,0)&lt;0,0,ROUNDUP((C10-(C11*C15))/C12,0))</f>
        <v>1</v>
      </c>
      <c r="D16" s="120">
        <f>IF(ROUNDUP((D10-(D11*D15))/D12,0)&lt;0,0,ROUNDUP((D10-(D11*D15))/D12,0))</f>
        <v>0</v>
      </c>
      <c r="E16" s="317"/>
      <c r="F16" s="22"/>
      <c r="G16" s="22"/>
    </row>
    <row r="17" spans="1:558" ht="18" customHeight="1" x14ac:dyDescent="0.25">
      <c r="A17" s="22"/>
      <c r="B17" s="122" t="s">
        <v>66</v>
      </c>
      <c r="C17" s="123">
        <f>(C15*C11)+(ROUNDUP(C16/2,0)*C13)+(ROUNDDOWN(C16/2,0)*C14)</f>
        <v>180</v>
      </c>
      <c r="D17" s="124">
        <f>(D15*D11)+(ROUNDUP(D16/2,0)*D13)+(ROUNDDOWN(D16/2,0)*D14)</f>
        <v>39</v>
      </c>
      <c r="E17" s="317"/>
      <c r="F17" s="22"/>
      <c r="G17" s="22"/>
    </row>
    <row r="18" spans="1:558" ht="12.75" customHeight="1" x14ac:dyDescent="0.25">
      <c r="A18" s="22"/>
      <c r="B18" s="144" t="s">
        <v>71</v>
      </c>
      <c r="C18" s="25">
        <f>C11*C19</f>
        <v>2325.12</v>
      </c>
      <c r="D18" s="25">
        <f>D11*D19</f>
        <v>2469.87</v>
      </c>
      <c r="E18" s="25"/>
      <c r="F18" s="22"/>
      <c r="G18" s="22"/>
    </row>
    <row r="19" spans="1:558" ht="12.75" customHeight="1" x14ac:dyDescent="0.25">
      <c r="A19" s="22"/>
      <c r="B19" s="266" t="s">
        <v>70</v>
      </c>
      <c r="C19" s="32">
        <v>27.68</v>
      </c>
      <c r="D19" s="32">
        <v>63.33</v>
      </c>
      <c r="E19" s="257"/>
      <c r="F19" s="22"/>
      <c r="G19" s="22"/>
    </row>
    <row r="20" spans="1:558" ht="18" hidden="1" customHeight="1" x14ac:dyDescent="0.25">
      <c r="A20" s="22"/>
      <c r="B20" s="24" t="s">
        <v>72</v>
      </c>
      <c r="C20" s="257">
        <f>+C17*C9</f>
        <v>160.19999999999999</v>
      </c>
      <c r="D20" s="257">
        <f>D17*D9</f>
        <v>69.81</v>
      </c>
      <c r="E20" s="161"/>
      <c r="F20" s="22"/>
      <c r="G20" s="22"/>
    </row>
    <row r="21" spans="1:558" ht="12.75" customHeight="1" x14ac:dyDescent="0.25">
      <c r="A21" s="22"/>
      <c r="B21" s="24"/>
      <c r="C21" s="257"/>
      <c r="D21" s="257"/>
      <c r="E21" s="161"/>
      <c r="F21" s="22"/>
      <c r="G21" s="22"/>
    </row>
    <row r="22" spans="1:558" ht="12.75" customHeight="1" x14ac:dyDescent="0.25">
      <c r="A22" s="22"/>
      <c r="B22" s="86" t="s">
        <v>89</v>
      </c>
      <c r="C22" s="257"/>
      <c r="D22" s="257"/>
      <c r="E22" s="161"/>
      <c r="F22" s="22"/>
      <c r="G22" s="22"/>
    </row>
    <row r="23" spans="1:558" ht="12.75" customHeight="1" x14ac:dyDescent="0.25">
      <c r="A23" s="22"/>
      <c r="B23" s="87" t="s">
        <v>50</v>
      </c>
      <c r="C23" s="22"/>
      <c r="D23" s="22"/>
      <c r="E23" s="22"/>
      <c r="F23" s="22"/>
      <c r="G23" s="22"/>
    </row>
    <row r="24" spans="1:558" ht="18" customHeight="1" x14ac:dyDescent="0.25">
      <c r="A24" s="34"/>
      <c r="B24" s="34"/>
      <c r="C24" s="68" t="s">
        <v>93</v>
      </c>
      <c r="D24" s="164">
        <f>SUM(C20:D20)</f>
        <v>230.01</v>
      </c>
      <c r="E24" s="72" t="s">
        <v>75</v>
      </c>
      <c r="F24" s="34"/>
      <c r="G24" s="34"/>
      <c r="H24" s="34"/>
      <c r="K24" s="22"/>
    </row>
    <row r="25" spans="1:558" ht="18" customHeight="1" x14ac:dyDescent="0.25">
      <c r="A25" s="39"/>
      <c r="B25" s="39"/>
      <c r="C25" s="69" t="s">
        <v>95</v>
      </c>
      <c r="D25" s="70">
        <f>ROUND(+D24/35,0)</f>
        <v>7</v>
      </c>
      <c r="E25" s="73" t="s">
        <v>4</v>
      </c>
      <c r="F25" s="39"/>
      <c r="G25" s="39"/>
      <c r="H25" s="35"/>
    </row>
    <row r="26" spans="1:558" ht="12.75" customHeight="1" x14ac:dyDescent="0.25">
      <c r="A26" s="39"/>
      <c r="B26" s="487" t="s">
        <v>8</v>
      </c>
      <c r="C26" s="487"/>
      <c r="D26" s="487"/>
      <c r="E26" s="487"/>
      <c r="F26" s="487"/>
      <c r="G26" s="487"/>
      <c r="H26" s="35"/>
    </row>
    <row r="27" spans="1:558" ht="18" customHeight="1" x14ac:dyDescent="0.25">
      <c r="A27" s="34"/>
      <c r="B27" s="34"/>
      <c r="C27" s="68" t="s">
        <v>96</v>
      </c>
      <c r="D27" s="164">
        <f>SUM(C17*C19+D17*D19)</f>
        <v>7452.2699999999995</v>
      </c>
      <c r="E27" s="72" t="s">
        <v>3</v>
      </c>
      <c r="F27" s="34"/>
      <c r="G27" s="34"/>
      <c r="H27" s="34"/>
    </row>
    <row r="28" spans="1:558" s="17" customFormat="1" ht="12.75" customHeight="1" x14ac:dyDescent="0.25">
      <c r="A28" s="13"/>
      <c r="B28" s="13"/>
      <c r="C28" s="13"/>
      <c r="D28" s="13"/>
      <c r="E28" s="13"/>
      <c r="F28" s="13"/>
      <c r="G28" s="13"/>
      <c r="H28" s="11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  <c r="KS28" s="23"/>
      <c r="KT28" s="23"/>
      <c r="KU28" s="23"/>
      <c r="KV28" s="23"/>
      <c r="KW28" s="23"/>
      <c r="KX28" s="23"/>
      <c r="KY28" s="23"/>
      <c r="KZ28" s="23"/>
      <c r="LA28" s="23"/>
      <c r="LB28" s="23"/>
      <c r="LC28" s="23"/>
      <c r="LD28" s="23"/>
      <c r="LE28" s="23"/>
      <c r="LF28" s="23"/>
      <c r="LG28" s="23"/>
      <c r="LH28" s="23"/>
      <c r="LI28" s="23"/>
      <c r="LJ28" s="23"/>
      <c r="LK28" s="23"/>
      <c r="LL28" s="23"/>
      <c r="LM28" s="23"/>
      <c r="LN28" s="23"/>
      <c r="LO28" s="23"/>
      <c r="LP28" s="23"/>
      <c r="LQ28" s="23"/>
      <c r="LR28" s="23"/>
      <c r="LS28" s="23"/>
      <c r="LT28" s="23"/>
      <c r="LU28" s="23"/>
      <c r="LV28" s="23"/>
      <c r="LW28" s="23"/>
      <c r="LX28" s="23"/>
      <c r="LY28" s="23"/>
      <c r="LZ28" s="23"/>
      <c r="MA28" s="23"/>
      <c r="MB28" s="23"/>
      <c r="MC28" s="23"/>
      <c r="MD28" s="23"/>
      <c r="ME28" s="23"/>
      <c r="MF28" s="23"/>
      <c r="MG28" s="23"/>
      <c r="MH28" s="23"/>
      <c r="MI28" s="23"/>
      <c r="MJ28" s="23"/>
      <c r="MK28" s="23"/>
      <c r="ML28" s="23"/>
      <c r="MM28" s="23"/>
      <c r="MN28" s="23"/>
      <c r="MO28" s="23"/>
      <c r="MP28" s="23"/>
      <c r="MQ28" s="23"/>
      <c r="MR28" s="23"/>
      <c r="MS28" s="23"/>
      <c r="MT28" s="23"/>
      <c r="MU28" s="23"/>
      <c r="MV28" s="23"/>
      <c r="MW28" s="23"/>
      <c r="MX28" s="23"/>
      <c r="MY28" s="23"/>
      <c r="MZ28" s="23"/>
      <c r="NA28" s="23"/>
      <c r="NB28" s="23"/>
      <c r="NC28" s="23"/>
      <c r="ND28" s="23"/>
      <c r="NE28" s="23"/>
      <c r="NF28" s="23"/>
      <c r="NG28" s="23"/>
      <c r="NH28" s="23"/>
      <c r="NI28" s="23"/>
      <c r="NJ28" s="23"/>
      <c r="NK28" s="23"/>
      <c r="NL28" s="23"/>
      <c r="NM28" s="23"/>
      <c r="NN28" s="23"/>
      <c r="NO28" s="23"/>
      <c r="NP28" s="23"/>
      <c r="NQ28" s="23"/>
      <c r="NR28" s="23"/>
      <c r="NS28" s="23"/>
      <c r="NT28" s="23"/>
      <c r="NU28" s="23"/>
      <c r="NV28" s="23"/>
      <c r="NW28" s="23"/>
      <c r="NX28" s="23"/>
      <c r="NY28" s="23"/>
      <c r="NZ28" s="23"/>
      <c r="OA28" s="23"/>
      <c r="OB28" s="23"/>
      <c r="OC28" s="23"/>
      <c r="OD28" s="23"/>
      <c r="OE28" s="23"/>
      <c r="OF28" s="23"/>
      <c r="OG28" s="23"/>
      <c r="OH28" s="23"/>
      <c r="OI28" s="23"/>
      <c r="OJ28" s="23"/>
      <c r="OK28" s="23"/>
      <c r="OL28" s="23"/>
      <c r="OM28" s="23"/>
      <c r="ON28" s="23"/>
      <c r="OO28" s="23"/>
      <c r="OP28" s="23"/>
      <c r="OQ28" s="23"/>
      <c r="OR28" s="23"/>
      <c r="OS28" s="23"/>
      <c r="OT28" s="23"/>
      <c r="OU28" s="23"/>
      <c r="OV28" s="23"/>
      <c r="OW28" s="23"/>
      <c r="OX28" s="23"/>
      <c r="OY28" s="23"/>
      <c r="OZ28" s="23"/>
      <c r="PA28" s="23"/>
      <c r="PB28" s="23"/>
      <c r="PC28" s="23"/>
      <c r="PD28" s="23"/>
      <c r="PE28" s="23"/>
      <c r="PF28" s="23"/>
      <c r="PG28" s="23"/>
      <c r="PH28" s="23"/>
      <c r="PI28" s="23"/>
      <c r="PJ28" s="23"/>
      <c r="PK28" s="23"/>
      <c r="PL28" s="23"/>
      <c r="PM28" s="23"/>
      <c r="PN28" s="23"/>
      <c r="PO28" s="23"/>
      <c r="PP28" s="23"/>
      <c r="PQ28" s="23"/>
      <c r="PR28" s="23"/>
      <c r="PS28" s="23"/>
      <c r="PT28" s="23"/>
      <c r="PU28" s="23"/>
      <c r="PV28" s="23"/>
      <c r="PW28" s="23"/>
      <c r="PX28" s="23"/>
      <c r="PY28" s="23"/>
      <c r="PZ28" s="23"/>
      <c r="QA28" s="23"/>
      <c r="QB28" s="23"/>
      <c r="QC28" s="23"/>
      <c r="QD28" s="23"/>
      <c r="QE28" s="23"/>
      <c r="QF28" s="23"/>
      <c r="QG28" s="23"/>
      <c r="QH28" s="23"/>
      <c r="QI28" s="23"/>
      <c r="QJ28" s="23"/>
      <c r="QK28" s="23"/>
      <c r="QL28" s="23"/>
      <c r="QM28" s="23"/>
      <c r="QN28" s="23"/>
      <c r="QO28" s="23"/>
      <c r="QP28" s="23"/>
      <c r="QQ28" s="23"/>
      <c r="QR28" s="23"/>
      <c r="QS28" s="23"/>
      <c r="QT28" s="23"/>
      <c r="QU28" s="23"/>
      <c r="QV28" s="23"/>
      <c r="QW28" s="23"/>
      <c r="QX28" s="23"/>
      <c r="QY28" s="23"/>
      <c r="QZ28" s="23"/>
      <c r="RA28" s="23"/>
      <c r="RB28" s="23"/>
      <c r="RC28" s="23"/>
      <c r="RD28" s="23"/>
      <c r="RE28" s="23"/>
      <c r="RF28" s="23"/>
      <c r="RG28" s="23"/>
      <c r="RH28" s="23"/>
      <c r="RI28" s="23"/>
      <c r="RJ28" s="23"/>
      <c r="RK28" s="23"/>
      <c r="RL28" s="23"/>
      <c r="RM28" s="23"/>
      <c r="RN28" s="23"/>
      <c r="RO28" s="23"/>
      <c r="RP28" s="23"/>
      <c r="RQ28" s="23"/>
      <c r="RR28" s="23"/>
      <c r="RS28" s="23"/>
      <c r="RT28" s="23"/>
      <c r="RU28" s="23"/>
      <c r="RV28" s="23"/>
      <c r="RW28" s="23"/>
      <c r="RX28" s="23"/>
      <c r="RY28" s="23"/>
      <c r="RZ28" s="23"/>
      <c r="SA28" s="23"/>
      <c r="SB28" s="23"/>
      <c r="SC28" s="23"/>
      <c r="SD28" s="23"/>
      <c r="SE28" s="23"/>
      <c r="SF28" s="23"/>
      <c r="SG28" s="23"/>
      <c r="SH28" s="23"/>
      <c r="SI28" s="23"/>
      <c r="SJ28" s="23"/>
      <c r="SK28" s="23"/>
      <c r="SL28" s="23"/>
      <c r="SM28" s="23"/>
      <c r="SN28" s="23"/>
      <c r="SO28" s="23"/>
      <c r="SP28" s="23"/>
      <c r="SQ28" s="23"/>
      <c r="SR28" s="23"/>
      <c r="SS28" s="23"/>
      <c r="ST28" s="23"/>
      <c r="SU28" s="23"/>
      <c r="SV28" s="23"/>
      <c r="SW28" s="23"/>
      <c r="SX28" s="23"/>
      <c r="SY28" s="23"/>
      <c r="SZ28" s="23"/>
      <c r="TA28" s="23"/>
      <c r="TB28" s="23"/>
      <c r="TC28" s="23"/>
      <c r="TD28" s="23"/>
      <c r="TE28" s="23"/>
      <c r="TF28" s="23"/>
      <c r="TG28" s="23"/>
      <c r="TH28" s="23"/>
      <c r="TI28" s="23"/>
      <c r="TJ28" s="23"/>
      <c r="TK28" s="23"/>
      <c r="TL28" s="23"/>
      <c r="TM28" s="23"/>
      <c r="TN28" s="23"/>
      <c r="TO28" s="23"/>
      <c r="TP28" s="23"/>
      <c r="TQ28" s="23"/>
      <c r="TR28" s="23"/>
      <c r="TS28" s="23"/>
      <c r="TT28" s="23"/>
      <c r="TU28" s="23"/>
      <c r="TV28" s="23"/>
      <c r="TW28" s="23"/>
      <c r="TX28" s="23"/>
      <c r="TY28" s="23"/>
      <c r="TZ28" s="23"/>
      <c r="UA28" s="23"/>
      <c r="UB28" s="23"/>
      <c r="UC28" s="23"/>
      <c r="UD28" s="23"/>
      <c r="UE28" s="23"/>
      <c r="UF28" s="23"/>
      <c r="UG28" s="23"/>
      <c r="UH28" s="23"/>
      <c r="UI28" s="23"/>
      <c r="UJ28" s="23"/>
      <c r="UK28" s="23"/>
      <c r="UL28" s="23"/>
    </row>
    <row r="29" spans="1:558" s="17" customFormat="1" ht="12.75" customHeight="1" x14ac:dyDescent="0.25">
      <c r="A29" s="13"/>
      <c r="B29" s="13"/>
      <c r="C29" s="13"/>
      <c r="D29" s="13"/>
      <c r="E29" s="11"/>
      <c r="F29" s="11"/>
      <c r="G29" s="11"/>
      <c r="H29" s="11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  <c r="NC29" s="23"/>
      <c r="ND29" s="23"/>
      <c r="NE29" s="23"/>
      <c r="NF29" s="23"/>
      <c r="NG29" s="23"/>
      <c r="NH29" s="23"/>
      <c r="NI29" s="23"/>
      <c r="NJ29" s="23"/>
      <c r="NK29" s="23"/>
      <c r="NL29" s="23"/>
      <c r="NM29" s="23"/>
      <c r="NN29" s="23"/>
      <c r="NO29" s="23"/>
      <c r="NP29" s="23"/>
      <c r="NQ29" s="23"/>
      <c r="NR29" s="23"/>
      <c r="NS29" s="23"/>
      <c r="NT29" s="23"/>
      <c r="NU29" s="23"/>
      <c r="NV29" s="23"/>
      <c r="NW29" s="23"/>
      <c r="NX29" s="23"/>
      <c r="NY29" s="23"/>
      <c r="NZ29" s="23"/>
      <c r="OA29" s="23"/>
      <c r="OB29" s="23"/>
      <c r="OC29" s="23"/>
      <c r="OD29" s="23"/>
      <c r="OE29" s="23"/>
      <c r="OF29" s="23"/>
      <c r="OG29" s="23"/>
      <c r="OH29" s="23"/>
      <c r="OI29" s="23"/>
      <c r="OJ29" s="23"/>
      <c r="OK29" s="23"/>
      <c r="OL29" s="23"/>
      <c r="OM29" s="23"/>
      <c r="ON29" s="23"/>
      <c r="OO29" s="23"/>
      <c r="OP29" s="23"/>
      <c r="OQ29" s="23"/>
      <c r="OR29" s="23"/>
      <c r="OS29" s="23"/>
      <c r="OT29" s="23"/>
      <c r="OU29" s="23"/>
      <c r="OV29" s="23"/>
      <c r="OW29" s="23"/>
      <c r="OX29" s="23"/>
      <c r="OY29" s="23"/>
      <c r="OZ29" s="23"/>
      <c r="PA29" s="23"/>
      <c r="PB29" s="23"/>
      <c r="PC29" s="23"/>
      <c r="PD29" s="23"/>
      <c r="PE29" s="23"/>
      <c r="PF29" s="23"/>
      <c r="PG29" s="23"/>
      <c r="PH29" s="23"/>
      <c r="PI29" s="23"/>
      <c r="PJ29" s="23"/>
      <c r="PK29" s="23"/>
      <c r="PL29" s="23"/>
      <c r="PM29" s="23"/>
      <c r="PN29" s="23"/>
      <c r="PO29" s="23"/>
      <c r="PP29" s="23"/>
      <c r="PQ29" s="23"/>
      <c r="PR29" s="23"/>
      <c r="PS29" s="23"/>
      <c r="PT29" s="23"/>
      <c r="PU29" s="23"/>
      <c r="PV29" s="23"/>
      <c r="PW29" s="23"/>
      <c r="PX29" s="23"/>
      <c r="PY29" s="23"/>
      <c r="PZ29" s="23"/>
      <c r="QA29" s="23"/>
      <c r="QB29" s="23"/>
      <c r="QC29" s="23"/>
      <c r="QD29" s="23"/>
      <c r="QE29" s="23"/>
      <c r="QF29" s="23"/>
      <c r="QG29" s="23"/>
      <c r="QH29" s="23"/>
      <c r="QI29" s="23"/>
      <c r="QJ29" s="23"/>
      <c r="QK29" s="23"/>
      <c r="QL29" s="23"/>
      <c r="QM29" s="23"/>
      <c r="QN29" s="23"/>
      <c r="QO29" s="23"/>
      <c r="QP29" s="23"/>
      <c r="QQ29" s="23"/>
      <c r="QR29" s="23"/>
      <c r="QS29" s="23"/>
      <c r="QT29" s="23"/>
      <c r="QU29" s="23"/>
      <c r="QV29" s="23"/>
      <c r="QW29" s="23"/>
      <c r="QX29" s="23"/>
      <c r="QY29" s="23"/>
      <c r="QZ29" s="23"/>
      <c r="RA29" s="23"/>
      <c r="RB29" s="23"/>
      <c r="RC29" s="23"/>
      <c r="RD29" s="23"/>
      <c r="RE29" s="23"/>
      <c r="RF29" s="23"/>
      <c r="RG29" s="23"/>
      <c r="RH29" s="23"/>
      <c r="RI29" s="23"/>
      <c r="RJ29" s="23"/>
      <c r="RK29" s="23"/>
      <c r="RL29" s="23"/>
      <c r="RM29" s="23"/>
      <c r="RN29" s="23"/>
      <c r="RO29" s="23"/>
      <c r="RP29" s="23"/>
      <c r="RQ29" s="23"/>
      <c r="RR29" s="23"/>
      <c r="RS29" s="23"/>
      <c r="RT29" s="23"/>
      <c r="RU29" s="23"/>
      <c r="RV29" s="23"/>
      <c r="RW29" s="23"/>
      <c r="RX29" s="23"/>
      <c r="RY29" s="23"/>
      <c r="RZ29" s="23"/>
      <c r="SA29" s="23"/>
      <c r="SB29" s="23"/>
      <c r="SC29" s="23"/>
      <c r="SD29" s="23"/>
      <c r="SE29" s="23"/>
      <c r="SF29" s="23"/>
      <c r="SG29" s="23"/>
      <c r="SH29" s="23"/>
      <c r="SI29" s="23"/>
      <c r="SJ29" s="23"/>
      <c r="SK29" s="23"/>
      <c r="SL29" s="23"/>
      <c r="SM29" s="23"/>
      <c r="SN29" s="23"/>
      <c r="SO29" s="23"/>
      <c r="SP29" s="23"/>
      <c r="SQ29" s="23"/>
      <c r="SR29" s="23"/>
      <c r="SS29" s="23"/>
      <c r="ST29" s="23"/>
      <c r="SU29" s="23"/>
      <c r="SV29" s="23"/>
      <c r="SW29" s="23"/>
      <c r="SX29" s="23"/>
      <c r="SY29" s="23"/>
      <c r="SZ29" s="23"/>
      <c r="TA29" s="23"/>
      <c r="TB29" s="23"/>
      <c r="TC29" s="23"/>
      <c r="TD29" s="23"/>
      <c r="TE29" s="23"/>
      <c r="TF29" s="23"/>
      <c r="TG29" s="23"/>
      <c r="TH29" s="23"/>
      <c r="TI29" s="23"/>
      <c r="TJ29" s="23"/>
      <c r="TK29" s="23"/>
      <c r="TL29" s="23"/>
      <c r="TM29" s="23"/>
      <c r="TN29" s="23"/>
      <c r="TO29" s="23"/>
      <c r="TP29" s="23"/>
      <c r="TQ29" s="23"/>
      <c r="TR29" s="23"/>
      <c r="TS29" s="23"/>
      <c r="TT29" s="23"/>
      <c r="TU29" s="23"/>
      <c r="TV29" s="23"/>
      <c r="TW29" s="23"/>
      <c r="TX29" s="23"/>
      <c r="TY29" s="23"/>
      <c r="TZ29" s="23"/>
      <c r="UA29" s="23"/>
      <c r="UB29" s="23"/>
      <c r="UC29" s="23"/>
      <c r="UD29" s="23"/>
      <c r="UE29" s="23"/>
      <c r="UF29" s="23"/>
      <c r="UG29" s="23"/>
      <c r="UH29" s="23"/>
      <c r="UI29" s="23"/>
      <c r="UJ29" s="23"/>
      <c r="UK29" s="23"/>
      <c r="UL29" s="23"/>
    </row>
    <row r="30" spans="1:558" s="17" customFormat="1" ht="12.75" customHeight="1" x14ac:dyDescent="0.25">
      <c r="A30" s="13"/>
      <c r="B30" s="13"/>
      <c r="C30" s="13"/>
      <c r="D30" s="13"/>
      <c r="E30" s="13"/>
      <c r="F30" s="11"/>
      <c r="G30" s="11"/>
      <c r="H30" s="11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  <c r="NA30" s="23"/>
      <c r="NB30" s="23"/>
      <c r="NC30" s="23"/>
      <c r="ND30" s="23"/>
      <c r="NE30" s="23"/>
      <c r="NF30" s="23"/>
      <c r="NG30" s="23"/>
      <c r="NH30" s="23"/>
      <c r="NI30" s="23"/>
      <c r="NJ30" s="23"/>
      <c r="NK30" s="23"/>
      <c r="NL30" s="23"/>
      <c r="NM30" s="23"/>
      <c r="NN30" s="23"/>
      <c r="NO30" s="23"/>
      <c r="NP30" s="23"/>
      <c r="NQ30" s="23"/>
      <c r="NR30" s="23"/>
      <c r="NS30" s="23"/>
      <c r="NT30" s="23"/>
      <c r="NU30" s="23"/>
      <c r="NV30" s="23"/>
      <c r="NW30" s="23"/>
      <c r="NX30" s="23"/>
      <c r="NY30" s="23"/>
      <c r="NZ30" s="23"/>
      <c r="OA30" s="23"/>
      <c r="OB30" s="23"/>
      <c r="OC30" s="23"/>
      <c r="OD30" s="23"/>
      <c r="OE30" s="23"/>
      <c r="OF30" s="23"/>
      <c r="OG30" s="23"/>
      <c r="OH30" s="23"/>
      <c r="OI30" s="23"/>
      <c r="OJ30" s="23"/>
      <c r="OK30" s="23"/>
      <c r="OL30" s="23"/>
      <c r="OM30" s="23"/>
      <c r="ON30" s="23"/>
      <c r="OO30" s="23"/>
      <c r="OP30" s="23"/>
      <c r="OQ30" s="23"/>
      <c r="OR30" s="23"/>
      <c r="OS30" s="23"/>
      <c r="OT30" s="23"/>
      <c r="OU30" s="23"/>
      <c r="OV30" s="23"/>
      <c r="OW30" s="23"/>
      <c r="OX30" s="23"/>
      <c r="OY30" s="23"/>
      <c r="OZ30" s="23"/>
      <c r="PA30" s="23"/>
      <c r="PB30" s="23"/>
      <c r="PC30" s="23"/>
      <c r="PD30" s="23"/>
      <c r="PE30" s="23"/>
      <c r="PF30" s="23"/>
      <c r="PG30" s="23"/>
      <c r="PH30" s="23"/>
      <c r="PI30" s="23"/>
      <c r="PJ30" s="23"/>
      <c r="PK30" s="23"/>
      <c r="PL30" s="23"/>
      <c r="PM30" s="23"/>
      <c r="PN30" s="23"/>
      <c r="PO30" s="23"/>
      <c r="PP30" s="23"/>
      <c r="PQ30" s="23"/>
      <c r="PR30" s="23"/>
      <c r="PS30" s="23"/>
      <c r="PT30" s="23"/>
      <c r="PU30" s="23"/>
      <c r="PV30" s="23"/>
      <c r="PW30" s="23"/>
      <c r="PX30" s="23"/>
      <c r="PY30" s="23"/>
      <c r="PZ30" s="23"/>
      <c r="QA30" s="23"/>
      <c r="QB30" s="23"/>
      <c r="QC30" s="23"/>
      <c r="QD30" s="23"/>
      <c r="QE30" s="23"/>
      <c r="QF30" s="23"/>
      <c r="QG30" s="23"/>
      <c r="QH30" s="23"/>
      <c r="QI30" s="23"/>
      <c r="QJ30" s="23"/>
      <c r="QK30" s="23"/>
      <c r="QL30" s="23"/>
      <c r="QM30" s="23"/>
      <c r="QN30" s="23"/>
      <c r="QO30" s="23"/>
      <c r="QP30" s="23"/>
      <c r="QQ30" s="23"/>
      <c r="QR30" s="23"/>
      <c r="QS30" s="23"/>
      <c r="QT30" s="23"/>
      <c r="QU30" s="23"/>
      <c r="QV30" s="23"/>
      <c r="QW30" s="23"/>
      <c r="QX30" s="23"/>
      <c r="QY30" s="23"/>
      <c r="QZ30" s="23"/>
      <c r="RA30" s="23"/>
      <c r="RB30" s="23"/>
      <c r="RC30" s="23"/>
      <c r="RD30" s="23"/>
      <c r="RE30" s="23"/>
      <c r="RF30" s="23"/>
      <c r="RG30" s="23"/>
      <c r="RH30" s="23"/>
      <c r="RI30" s="23"/>
      <c r="RJ30" s="23"/>
      <c r="RK30" s="23"/>
      <c r="RL30" s="23"/>
      <c r="RM30" s="23"/>
      <c r="RN30" s="23"/>
      <c r="RO30" s="23"/>
      <c r="RP30" s="23"/>
      <c r="RQ30" s="23"/>
      <c r="RR30" s="23"/>
      <c r="RS30" s="23"/>
      <c r="RT30" s="23"/>
      <c r="RU30" s="23"/>
      <c r="RV30" s="23"/>
      <c r="RW30" s="23"/>
      <c r="RX30" s="23"/>
      <c r="RY30" s="23"/>
      <c r="RZ30" s="23"/>
      <c r="SA30" s="23"/>
      <c r="SB30" s="23"/>
      <c r="SC30" s="23"/>
      <c r="SD30" s="23"/>
      <c r="SE30" s="23"/>
      <c r="SF30" s="23"/>
      <c r="SG30" s="23"/>
      <c r="SH30" s="23"/>
      <c r="SI30" s="23"/>
      <c r="SJ30" s="23"/>
      <c r="SK30" s="23"/>
      <c r="SL30" s="23"/>
      <c r="SM30" s="23"/>
      <c r="SN30" s="23"/>
      <c r="SO30" s="23"/>
      <c r="SP30" s="23"/>
      <c r="SQ30" s="23"/>
      <c r="SR30" s="23"/>
      <c r="SS30" s="23"/>
      <c r="ST30" s="23"/>
      <c r="SU30" s="23"/>
      <c r="SV30" s="23"/>
      <c r="SW30" s="23"/>
      <c r="SX30" s="23"/>
      <c r="SY30" s="23"/>
      <c r="SZ30" s="23"/>
      <c r="TA30" s="23"/>
      <c r="TB30" s="23"/>
      <c r="TC30" s="23"/>
      <c r="TD30" s="23"/>
      <c r="TE30" s="23"/>
      <c r="TF30" s="23"/>
      <c r="TG30" s="23"/>
      <c r="TH30" s="23"/>
      <c r="TI30" s="23"/>
      <c r="TJ30" s="23"/>
      <c r="TK30" s="23"/>
      <c r="TL30" s="23"/>
      <c r="TM30" s="23"/>
      <c r="TN30" s="23"/>
      <c r="TO30" s="23"/>
      <c r="TP30" s="23"/>
      <c r="TQ30" s="23"/>
      <c r="TR30" s="23"/>
      <c r="TS30" s="23"/>
      <c r="TT30" s="23"/>
      <c r="TU30" s="23"/>
      <c r="TV30" s="23"/>
      <c r="TW30" s="23"/>
      <c r="TX30" s="23"/>
      <c r="TY30" s="23"/>
      <c r="TZ30" s="23"/>
      <c r="UA30" s="23"/>
      <c r="UB30" s="23"/>
      <c r="UC30" s="23"/>
      <c r="UD30" s="23"/>
      <c r="UE30" s="23"/>
      <c r="UF30" s="23"/>
      <c r="UG30" s="23"/>
      <c r="UH30" s="23"/>
      <c r="UI30" s="23"/>
      <c r="UJ30" s="23"/>
      <c r="UK30" s="23"/>
      <c r="UL30" s="23"/>
    </row>
    <row r="31" spans="1:558" s="17" customFormat="1" ht="18" customHeight="1" x14ac:dyDescent="0.25">
      <c r="A31" s="13"/>
      <c r="B31" s="13"/>
      <c r="C31" s="13"/>
      <c r="D31" s="13"/>
      <c r="E31" s="13"/>
      <c r="F31" s="11"/>
      <c r="G31" s="11"/>
      <c r="H31" s="223" t="s">
        <v>9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  <c r="PJ31" s="23"/>
      <c r="PK31" s="23"/>
      <c r="PL31" s="23"/>
      <c r="PM31" s="23"/>
      <c r="PN31" s="23"/>
      <c r="PO31" s="23"/>
      <c r="PP31" s="23"/>
      <c r="PQ31" s="23"/>
      <c r="PR31" s="23"/>
      <c r="PS31" s="23"/>
      <c r="PT31" s="23"/>
      <c r="PU31" s="23"/>
      <c r="PV31" s="23"/>
      <c r="PW31" s="23"/>
      <c r="PX31" s="23"/>
      <c r="PY31" s="23"/>
      <c r="PZ31" s="23"/>
      <c r="QA31" s="23"/>
      <c r="QB31" s="23"/>
      <c r="QC31" s="23"/>
      <c r="QD31" s="23"/>
      <c r="QE31" s="23"/>
      <c r="QF31" s="23"/>
      <c r="QG31" s="23"/>
      <c r="QH31" s="23"/>
      <c r="QI31" s="23"/>
      <c r="QJ31" s="23"/>
      <c r="QK31" s="23"/>
      <c r="QL31" s="23"/>
      <c r="QM31" s="23"/>
      <c r="QN31" s="23"/>
      <c r="QO31" s="23"/>
      <c r="QP31" s="23"/>
      <c r="QQ31" s="23"/>
      <c r="QR31" s="23"/>
      <c r="QS31" s="23"/>
      <c r="QT31" s="23"/>
      <c r="QU31" s="23"/>
      <c r="QV31" s="23"/>
      <c r="QW31" s="23"/>
      <c r="QX31" s="23"/>
      <c r="QY31" s="23"/>
      <c r="QZ31" s="23"/>
      <c r="RA31" s="23"/>
      <c r="RB31" s="23"/>
      <c r="RC31" s="23"/>
      <c r="RD31" s="23"/>
      <c r="RE31" s="23"/>
      <c r="RF31" s="23"/>
      <c r="RG31" s="23"/>
      <c r="RH31" s="23"/>
      <c r="RI31" s="23"/>
      <c r="RJ31" s="23"/>
      <c r="RK31" s="23"/>
      <c r="RL31" s="23"/>
      <c r="RM31" s="23"/>
      <c r="RN31" s="23"/>
      <c r="RO31" s="23"/>
      <c r="RP31" s="23"/>
      <c r="RQ31" s="23"/>
      <c r="RR31" s="23"/>
      <c r="RS31" s="23"/>
      <c r="RT31" s="23"/>
      <c r="RU31" s="23"/>
      <c r="RV31" s="23"/>
      <c r="RW31" s="23"/>
      <c r="RX31" s="23"/>
      <c r="RY31" s="23"/>
      <c r="RZ31" s="23"/>
      <c r="SA31" s="23"/>
      <c r="SB31" s="23"/>
      <c r="SC31" s="23"/>
      <c r="SD31" s="23"/>
      <c r="SE31" s="23"/>
      <c r="SF31" s="23"/>
      <c r="SG31" s="23"/>
      <c r="SH31" s="23"/>
      <c r="SI31" s="23"/>
      <c r="SJ31" s="23"/>
      <c r="SK31" s="23"/>
      <c r="SL31" s="23"/>
      <c r="SM31" s="23"/>
      <c r="SN31" s="23"/>
      <c r="SO31" s="23"/>
      <c r="SP31" s="23"/>
      <c r="SQ31" s="23"/>
      <c r="SR31" s="23"/>
      <c r="SS31" s="23"/>
      <c r="ST31" s="23"/>
      <c r="SU31" s="23"/>
      <c r="SV31" s="23"/>
      <c r="SW31" s="23"/>
      <c r="SX31" s="23"/>
      <c r="SY31" s="23"/>
      <c r="SZ31" s="23"/>
      <c r="TA31" s="23"/>
      <c r="TB31" s="23"/>
      <c r="TC31" s="23"/>
      <c r="TD31" s="23"/>
      <c r="TE31" s="23"/>
      <c r="TF31" s="23"/>
      <c r="TG31" s="23"/>
      <c r="TH31" s="23"/>
      <c r="TI31" s="23"/>
      <c r="TJ31" s="23"/>
      <c r="TK31" s="23"/>
      <c r="TL31" s="23"/>
      <c r="TM31" s="23"/>
      <c r="TN31" s="23"/>
      <c r="TO31" s="23"/>
      <c r="TP31" s="23"/>
      <c r="TQ31" s="23"/>
      <c r="TR31" s="23"/>
      <c r="TS31" s="23"/>
      <c r="TT31" s="23"/>
      <c r="TU31" s="23"/>
      <c r="TV31" s="23"/>
      <c r="TW31" s="23"/>
      <c r="TX31" s="23"/>
      <c r="TY31" s="23"/>
      <c r="TZ31" s="23"/>
      <c r="UA31" s="23"/>
      <c r="UB31" s="23"/>
      <c r="UC31" s="23"/>
      <c r="UD31" s="23"/>
      <c r="UE31" s="23"/>
      <c r="UF31" s="23"/>
      <c r="UG31" s="23"/>
      <c r="UH31" s="23"/>
      <c r="UI31" s="23"/>
      <c r="UJ31" s="23"/>
      <c r="UK31" s="23"/>
      <c r="UL31" s="23"/>
    </row>
    <row r="32" spans="1:558" s="17" customFormat="1" ht="12.75" customHeight="1" x14ac:dyDescent="0.25">
      <c r="A32" s="13"/>
      <c r="B32" s="13"/>
      <c r="C32" s="13"/>
      <c r="D32" s="13"/>
      <c r="E32" s="13"/>
      <c r="F32" s="11"/>
      <c r="G32" s="13"/>
      <c r="H32" s="11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  <c r="NA32" s="23"/>
      <c r="NB32" s="23"/>
      <c r="NC32" s="23"/>
      <c r="ND32" s="23"/>
      <c r="NE32" s="23"/>
      <c r="NF32" s="23"/>
      <c r="NG32" s="23"/>
      <c r="NH32" s="23"/>
      <c r="NI32" s="23"/>
      <c r="NJ32" s="23"/>
      <c r="NK32" s="23"/>
      <c r="NL32" s="23"/>
      <c r="NM32" s="23"/>
      <c r="NN32" s="23"/>
      <c r="NO32" s="23"/>
      <c r="NP32" s="23"/>
      <c r="NQ32" s="23"/>
      <c r="NR32" s="23"/>
      <c r="NS32" s="23"/>
      <c r="NT32" s="23"/>
      <c r="NU32" s="23"/>
      <c r="NV32" s="23"/>
      <c r="NW32" s="23"/>
      <c r="NX32" s="23"/>
      <c r="NY32" s="23"/>
      <c r="NZ32" s="23"/>
      <c r="OA32" s="23"/>
      <c r="OB32" s="23"/>
      <c r="OC32" s="23"/>
      <c r="OD32" s="23"/>
      <c r="OE32" s="23"/>
      <c r="OF32" s="23"/>
      <c r="OG32" s="23"/>
      <c r="OH32" s="23"/>
      <c r="OI32" s="23"/>
      <c r="OJ32" s="23"/>
      <c r="OK32" s="23"/>
      <c r="OL32" s="23"/>
      <c r="OM32" s="23"/>
      <c r="ON32" s="23"/>
      <c r="OO32" s="23"/>
      <c r="OP32" s="23"/>
      <c r="OQ32" s="23"/>
      <c r="OR32" s="23"/>
      <c r="OS32" s="23"/>
      <c r="OT32" s="23"/>
      <c r="OU32" s="23"/>
      <c r="OV32" s="23"/>
      <c r="OW32" s="23"/>
      <c r="OX32" s="23"/>
      <c r="OY32" s="23"/>
      <c r="OZ32" s="23"/>
      <c r="PA32" s="23"/>
      <c r="PB32" s="23"/>
      <c r="PC32" s="23"/>
      <c r="PD32" s="23"/>
      <c r="PE32" s="23"/>
      <c r="PF32" s="23"/>
      <c r="PG32" s="23"/>
      <c r="PH32" s="23"/>
      <c r="PI32" s="23"/>
      <c r="PJ32" s="23"/>
      <c r="PK32" s="23"/>
      <c r="PL32" s="23"/>
      <c r="PM32" s="23"/>
      <c r="PN32" s="23"/>
      <c r="PO32" s="23"/>
      <c r="PP32" s="23"/>
      <c r="PQ32" s="23"/>
      <c r="PR32" s="23"/>
      <c r="PS32" s="23"/>
      <c r="PT32" s="23"/>
      <c r="PU32" s="23"/>
      <c r="PV32" s="23"/>
      <c r="PW32" s="23"/>
      <c r="PX32" s="23"/>
      <c r="PY32" s="23"/>
      <c r="PZ32" s="23"/>
      <c r="QA32" s="23"/>
      <c r="QB32" s="23"/>
      <c r="QC32" s="23"/>
      <c r="QD32" s="23"/>
      <c r="QE32" s="23"/>
      <c r="QF32" s="23"/>
      <c r="QG32" s="23"/>
      <c r="QH32" s="23"/>
      <c r="QI32" s="23"/>
      <c r="QJ32" s="23"/>
      <c r="QK32" s="23"/>
      <c r="QL32" s="23"/>
      <c r="QM32" s="23"/>
      <c r="QN32" s="23"/>
      <c r="QO32" s="23"/>
      <c r="QP32" s="23"/>
      <c r="QQ32" s="23"/>
      <c r="QR32" s="23"/>
      <c r="QS32" s="23"/>
      <c r="QT32" s="23"/>
      <c r="QU32" s="23"/>
      <c r="QV32" s="23"/>
      <c r="QW32" s="23"/>
      <c r="QX32" s="23"/>
      <c r="QY32" s="23"/>
      <c r="QZ32" s="23"/>
      <c r="RA32" s="23"/>
      <c r="RB32" s="23"/>
      <c r="RC32" s="23"/>
      <c r="RD32" s="23"/>
      <c r="RE32" s="23"/>
      <c r="RF32" s="23"/>
      <c r="RG32" s="23"/>
      <c r="RH32" s="23"/>
      <c r="RI32" s="23"/>
      <c r="RJ32" s="23"/>
      <c r="RK32" s="23"/>
      <c r="RL32" s="23"/>
      <c r="RM32" s="23"/>
      <c r="RN32" s="23"/>
      <c r="RO32" s="23"/>
      <c r="RP32" s="23"/>
      <c r="RQ32" s="23"/>
      <c r="RR32" s="23"/>
      <c r="RS32" s="23"/>
      <c r="RT32" s="23"/>
      <c r="RU32" s="23"/>
      <c r="RV32" s="23"/>
      <c r="RW32" s="23"/>
      <c r="RX32" s="23"/>
      <c r="RY32" s="23"/>
      <c r="RZ32" s="23"/>
      <c r="SA32" s="23"/>
      <c r="SB32" s="23"/>
      <c r="SC32" s="23"/>
      <c r="SD32" s="23"/>
      <c r="SE32" s="23"/>
      <c r="SF32" s="23"/>
      <c r="SG32" s="23"/>
      <c r="SH32" s="23"/>
      <c r="SI32" s="23"/>
      <c r="SJ32" s="23"/>
      <c r="SK32" s="23"/>
      <c r="SL32" s="23"/>
      <c r="SM32" s="23"/>
      <c r="SN32" s="23"/>
      <c r="SO32" s="23"/>
      <c r="SP32" s="23"/>
      <c r="SQ32" s="23"/>
      <c r="SR32" s="23"/>
      <c r="SS32" s="23"/>
      <c r="ST32" s="23"/>
      <c r="SU32" s="23"/>
      <c r="SV32" s="23"/>
      <c r="SW32" s="23"/>
      <c r="SX32" s="23"/>
      <c r="SY32" s="23"/>
      <c r="SZ32" s="23"/>
      <c r="TA32" s="23"/>
      <c r="TB32" s="23"/>
      <c r="TC32" s="23"/>
      <c r="TD32" s="23"/>
      <c r="TE32" s="23"/>
      <c r="TF32" s="23"/>
      <c r="TG32" s="23"/>
      <c r="TH32" s="23"/>
      <c r="TI32" s="23"/>
      <c r="TJ32" s="23"/>
      <c r="TK32" s="23"/>
      <c r="TL32" s="23"/>
      <c r="TM32" s="23"/>
      <c r="TN32" s="23"/>
      <c r="TO32" s="23"/>
      <c r="TP32" s="23"/>
      <c r="TQ32" s="23"/>
      <c r="TR32" s="23"/>
      <c r="TS32" s="23"/>
      <c r="TT32" s="23"/>
      <c r="TU32" s="23"/>
      <c r="TV32" s="23"/>
      <c r="TW32" s="23"/>
      <c r="TX32" s="23"/>
      <c r="TY32" s="23"/>
      <c r="TZ32" s="23"/>
      <c r="UA32" s="23"/>
      <c r="UB32" s="23"/>
      <c r="UC32" s="23"/>
      <c r="UD32" s="23"/>
      <c r="UE32" s="23"/>
      <c r="UF32" s="23"/>
      <c r="UG32" s="23"/>
      <c r="UH32" s="23"/>
      <c r="UI32" s="23"/>
      <c r="UJ32" s="23"/>
      <c r="UK32" s="23"/>
      <c r="UL32" s="23"/>
    </row>
    <row r="33" spans="1:558" s="17" customFormat="1" ht="12.75" customHeight="1" x14ac:dyDescent="0.25">
      <c r="A33" s="13"/>
      <c r="B33" s="13"/>
      <c r="C33" s="13"/>
      <c r="D33" s="13"/>
      <c r="E33" s="13"/>
      <c r="F33" s="11"/>
      <c r="G33" s="13"/>
      <c r="H33" s="224" t="s">
        <v>56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  <c r="NA33" s="23"/>
      <c r="NB33" s="23"/>
      <c r="NC33" s="23"/>
      <c r="ND33" s="23"/>
      <c r="NE33" s="23"/>
      <c r="NF33" s="23"/>
      <c r="NG33" s="23"/>
      <c r="NH33" s="23"/>
      <c r="NI33" s="23"/>
      <c r="NJ33" s="23"/>
      <c r="NK33" s="23"/>
      <c r="NL33" s="23"/>
      <c r="NM33" s="23"/>
      <c r="NN33" s="23"/>
      <c r="NO33" s="23"/>
      <c r="NP33" s="23"/>
      <c r="NQ33" s="23"/>
      <c r="NR33" s="23"/>
      <c r="NS33" s="23"/>
      <c r="NT33" s="23"/>
      <c r="NU33" s="23"/>
      <c r="NV33" s="23"/>
      <c r="NW33" s="23"/>
      <c r="NX33" s="23"/>
      <c r="NY33" s="23"/>
      <c r="NZ33" s="23"/>
      <c r="OA33" s="23"/>
      <c r="OB33" s="23"/>
      <c r="OC33" s="23"/>
      <c r="OD33" s="23"/>
      <c r="OE33" s="23"/>
      <c r="OF33" s="23"/>
      <c r="OG33" s="23"/>
      <c r="OH33" s="23"/>
      <c r="OI33" s="23"/>
      <c r="OJ33" s="23"/>
      <c r="OK33" s="23"/>
      <c r="OL33" s="23"/>
      <c r="OM33" s="23"/>
      <c r="ON33" s="23"/>
      <c r="OO33" s="23"/>
      <c r="OP33" s="23"/>
      <c r="OQ33" s="23"/>
      <c r="OR33" s="23"/>
      <c r="OS33" s="23"/>
      <c r="OT33" s="23"/>
      <c r="OU33" s="23"/>
      <c r="OV33" s="23"/>
      <c r="OW33" s="23"/>
      <c r="OX33" s="23"/>
      <c r="OY33" s="23"/>
      <c r="OZ33" s="23"/>
      <c r="PA33" s="23"/>
      <c r="PB33" s="23"/>
      <c r="PC33" s="23"/>
      <c r="PD33" s="23"/>
      <c r="PE33" s="23"/>
      <c r="PF33" s="23"/>
      <c r="PG33" s="23"/>
      <c r="PH33" s="23"/>
      <c r="PI33" s="23"/>
      <c r="PJ33" s="23"/>
      <c r="PK33" s="23"/>
      <c r="PL33" s="23"/>
      <c r="PM33" s="23"/>
      <c r="PN33" s="23"/>
      <c r="PO33" s="23"/>
      <c r="PP33" s="23"/>
      <c r="PQ33" s="23"/>
      <c r="PR33" s="23"/>
      <c r="PS33" s="23"/>
      <c r="PT33" s="23"/>
      <c r="PU33" s="23"/>
      <c r="PV33" s="23"/>
      <c r="PW33" s="23"/>
      <c r="PX33" s="23"/>
      <c r="PY33" s="23"/>
      <c r="PZ33" s="23"/>
      <c r="QA33" s="23"/>
      <c r="QB33" s="23"/>
      <c r="QC33" s="23"/>
      <c r="QD33" s="23"/>
      <c r="QE33" s="23"/>
      <c r="QF33" s="23"/>
      <c r="QG33" s="23"/>
      <c r="QH33" s="23"/>
      <c r="QI33" s="23"/>
      <c r="QJ33" s="23"/>
      <c r="QK33" s="23"/>
      <c r="QL33" s="23"/>
      <c r="QM33" s="23"/>
      <c r="QN33" s="23"/>
      <c r="QO33" s="23"/>
      <c r="QP33" s="23"/>
      <c r="QQ33" s="23"/>
      <c r="QR33" s="23"/>
      <c r="QS33" s="23"/>
      <c r="QT33" s="23"/>
      <c r="QU33" s="23"/>
      <c r="QV33" s="23"/>
      <c r="QW33" s="23"/>
      <c r="QX33" s="23"/>
      <c r="QY33" s="23"/>
      <c r="QZ33" s="23"/>
      <c r="RA33" s="23"/>
      <c r="RB33" s="23"/>
      <c r="RC33" s="23"/>
      <c r="RD33" s="23"/>
      <c r="RE33" s="23"/>
      <c r="RF33" s="23"/>
      <c r="RG33" s="23"/>
      <c r="RH33" s="23"/>
      <c r="RI33" s="23"/>
      <c r="RJ33" s="23"/>
      <c r="RK33" s="23"/>
      <c r="RL33" s="23"/>
      <c r="RM33" s="23"/>
      <c r="RN33" s="23"/>
      <c r="RO33" s="23"/>
      <c r="RP33" s="23"/>
      <c r="RQ33" s="23"/>
      <c r="RR33" s="23"/>
      <c r="RS33" s="23"/>
      <c r="RT33" s="23"/>
      <c r="RU33" s="23"/>
      <c r="RV33" s="23"/>
      <c r="RW33" s="23"/>
      <c r="RX33" s="23"/>
      <c r="RY33" s="23"/>
      <c r="RZ33" s="23"/>
      <c r="SA33" s="23"/>
      <c r="SB33" s="23"/>
      <c r="SC33" s="23"/>
      <c r="SD33" s="23"/>
      <c r="SE33" s="23"/>
      <c r="SF33" s="23"/>
      <c r="SG33" s="23"/>
      <c r="SH33" s="23"/>
      <c r="SI33" s="23"/>
      <c r="SJ33" s="23"/>
      <c r="SK33" s="23"/>
      <c r="SL33" s="23"/>
      <c r="SM33" s="23"/>
      <c r="SN33" s="23"/>
      <c r="SO33" s="23"/>
      <c r="SP33" s="23"/>
      <c r="SQ33" s="23"/>
      <c r="SR33" s="23"/>
      <c r="SS33" s="23"/>
      <c r="ST33" s="23"/>
      <c r="SU33" s="23"/>
      <c r="SV33" s="23"/>
      <c r="SW33" s="23"/>
      <c r="SX33" s="23"/>
      <c r="SY33" s="23"/>
      <c r="SZ33" s="23"/>
      <c r="TA33" s="23"/>
      <c r="TB33" s="23"/>
      <c r="TC33" s="23"/>
      <c r="TD33" s="23"/>
      <c r="TE33" s="23"/>
      <c r="TF33" s="23"/>
      <c r="TG33" s="23"/>
      <c r="TH33" s="23"/>
      <c r="TI33" s="23"/>
      <c r="TJ33" s="23"/>
      <c r="TK33" s="23"/>
      <c r="TL33" s="23"/>
      <c r="TM33" s="23"/>
      <c r="TN33" s="23"/>
      <c r="TO33" s="23"/>
      <c r="TP33" s="23"/>
      <c r="TQ33" s="23"/>
      <c r="TR33" s="23"/>
      <c r="TS33" s="23"/>
      <c r="TT33" s="23"/>
      <c r="TU33" s="23"/>
      <c r="TV33" s="23"/>
      <c r="TW33" s="23"/>
      <c r="TX33" s="23"/>
      <c r="TY33" s="23"/>
      <c r="TZ33" s="23"/>
      <c r="UA33" s="23"/>
      <c r="UB33" s="23"/>
      <c r="UC33" s="23"/>
      <c r="UD33" s="23"/>
      <c r="UE33" s="23"/>
      <c r="UF33" s="23"/>
      <c r="UG33" s="23"/>
      <c r="UH33" s="23"/>
      <c r="UI33" s="23"/>
      <c r="UJ33" s="23"/>
      <c r="UK33" s="23"/>
      <c r="UL33" s="23"/>
    </row>
    <row r="34" spans="1:558" s="17" customFormat="1" ht="12.75" customHeight="1" x14ac:dyDescent="0.25">
      <c r="A34" s="13"/>
      <c r="B34" s="13"/>
      <c r="C34" s="13"/>
      <c r="D34" s="13"/>
      <c r="E34" s="13"/>
      <c r="F34" s="11"/>
      <c r="G34" s="13"/>
      <c r="H34" s="199" t="s">
        <v>55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3"/>
      <c r="NH34" s="23"/>
      <c r="NI34" s="23"/>
      <c r="NJ34" s="23"/>
      <c r="NK34" s="23"/>
      <c r="NL34" s="23"/>
      <c r="NM34" s="23"/>
      <c r="NN34" s="23"/>
      <c r="NO34" s="23"/>
      <c r="NP34" s="23"/>
      <c r="NQ34" s="23"/>
      <c r="NR34" s="23"/>
      <c r="NS34" s="23"/>
      <c r="NT34" s="23"/>
      <c r="NU34" s="23"/>
      <c r="NV34" s="23"/>
      <c r="NW34" s="23"/>
      <c r="NX34" s="23"/>
      <c r="NY34" s="23"/>
      <c r="NZ34" s="23"/>
      <c r="OA34" s="23"/>
      <c r="OB34" s="23"/>
      <c r="OC34" s="23"/>
      <c r="OD34" s="23"/>
      <c r="OE34" s="23"/>
      <c r="OF34" s="23"/>
      <c r="OG34" s="23"/>
      <c r="OH34" s="23"/>
      <c r="OI34" s="23"/>
      <c r="OJ34" s="23"/>
      <c r="OK34" s="23"/>
      <c r="OL34" s="23"/>
      <c r="OM34" s="23"/>
      <c r="ON34" s="23"/>
      <c r="OO34" s="23"/>
      <c r="OP34" s="23"/>
      <c r="OQ34" s="23"/>
      <c r="OR34" s="23"/>
      <c r="OS34" s="23"/>
      <c r="OT34" s="23"/>
      <c r="OU34" s="23"/>
      <c r="OV34" s="23"/>
      <c r="OW34" s="23"/>
      <c r="OX34" s="23"/>
      <c r="OY34" s="23"/>
      <c r="OZ34" s="23"/>
      <c r="PA34" s="23"/>
      <c r="PB34" s="23"/>
      <c r="PC34" s="23"/>
      <c r="PD34" s="23"/>
      <c r="PE34" s="23"/>
      <c r="PF34" s="23"/>
      <c r="PG34" s="23"/>
      <c r="PH34" s="23"/>
      <c r="PI34" s="23"/>
      <c r="PJ34" s="23"/>
      <c r="PK34" s="23"/>
      <c r="PL34" s="23"/>
      <c r="PM34" s="23"/>
      <c r="PN34" s="23"/>
      <c r="PO34" s="23"/>
      <c r="PP34" s="23"/>
      <c r="PQ34" s="23"/>
      <c r="PR34" s="23"/>
      <c r="PS34" s="23"/>
      <c r="PT34" s="23"/>
      <c r="PU34" s="23"/>
      <c r="PV34" s="23"/>
      <c r="PW34" s="23"/>
      <c r="PX34" s="23"/>
      <c r="PY34" s="23"/>
      <c r="PZ34" s="23"/>
      <c r="QA34" s="23"/>
      <c r="QB34" s="23"/>
      <c r="QC34" s="23"/>
      <c r="QD34" s="23"/>
      <c r="QE34" s="23"/>
      <c r="QF34" s="23"/>
      <c r="QG34" s="23"/>
      <c r="QH34" s="23"/>
      <c r="QI34" s="23"/>
      <c r="QJ34" s="23"/>
      <c r="QK34" s="23"/>
      <c r="QL34" s="23"/>
      <c r="QM34" s="23"/>
      <c r="QN34" s="23"/>
      <c r="QO34" s="23"/>
      <c r="QP34" s="23"/>
      <c r="QQ34" s="23"/>
      <c r="QR34" s="23"/>
      <c r="QS34" s="23"/>
      <c r="QT34" s="23"/>
      <c r="QU34" s="23"/>
      <c r="QV34" s="23"/>
      <c r="QW34" s="23"/>
      <c r="QX34" s="23"/>
      <c r="QY34" s="23"/>
      <c r="QZ34" s="23"/>
      <c r="RA34" s="23"/>
      <c r="RB34" s="23"/>
      <c r="RC34" s="23"/>
      <c r="RD34" s="23"/>
      <c r="RE34" s="23"/>
      <c r="RF34" s="23"/>
      <c r="RG34" s="23"/>
      <c r="RH34" s="23"/>
      <c r="RI34" s="23"/>
      <c r="RJ34" s="23"/>
      <c r="RK34" s="23"/>
      <c r="RL34" s="23"/>
      <c r="RM34" s="23"/>
      <c r="RN34" s="23"/>
      <c r="RO34" s="23"/>
      <c r="RP34" s="23"/>
      <c r="RQ34" s="23"/>
      <c r="RR34" s="23"/>
      <c r="RS34" s="23"/>
      <c r="RT34" s="23"/>
      <c r="RU34" s="23"/>
      <c r="RV34" s="23"/>
      <c r="RW34" s="23"/>
      <c r="RX34" s="23"/>
      <c r="RY34" s="23"/>
      <c r="RZ34" s="23"/>
      <c r="SA34" s="23"/>
      <c r="SB34" s="23"/>
      <c r="SC34" s="23"/>
      <c r="SD34" s="23"/>
      <c r="SE34" s="23"/>
      <c r="SF34" s="23"/>
      <c r="SG34" s="23"/>
      <c r="SH34" s="23"/>
      <c r="SI34" s="23"/>
      <c r="SJ34" s="23"/>
      <c r="SK34" s="23"/>
      <c r="SL34" s="23"/>
      <c r="SM34" s="23"/>
      <c r="SN34" s="23"/>
      <c r="SO34" s="23"/>
      <c r="SP34" s="23"/>
      <c r="SQ34" s="23"/>
      <c r="SR34" s="23"/>
      <c r="SS34" s="23"/>
      <c r="ST34" s="23"/>
      <c r="SU34" s="23"/>
      <c r="SV34" s="23"/>
      <c r="SW34" s="23"/>
      <c r="SX34" s="23"/>
      <c r="SY34" s="23"/>
      <c r="SZ34" s="23"/>
      <c r="TA34" s="23"/>
      <c r="TB34" s="23"/>
      <c r="TC34" s="23"/>
      <c r="TD34" s="23"/>
      <c r="TE34" s="23"/>
      <c r="TF34" s="23"/>
      <c r="TG34" s="23"/>
      <c r="TH34" s="23"/>
      <c r="TI34" s="23"/>
      <c r="TJ34" s="23"/>
      <c r="TK34" s="23"/>
      <c r="TL34" s="23"/>
      <c r="TM34" s="23"/>
      <c r="TN34" s="23"/>
      <c r="TO34" s="23"/>
      <c r="TP34" s="23"/>
      <c r="TQ34" s="23"/>
      <c r="TR34" s="23"/>
      <c r="TS34" s="23"/>
      <c r="TT34" s="23"/>
      <c r="TU34" s="23"/>
      <c r="TV34" s="23"/>
      <c r="TW34" s="23"/>
      <c r="TX34" s="23"/>
      <c r="TY34" s="23"/>
      <c r="TZ34" s="23"/>
      <c r="UA34" s="23"/>
      <c r="UB34" s="23"/>
      <c r="UC34" s="23"/>
      <c r="UD34" s="23"/>
      <c r="UE34" s="23"/>
      <c r="UF34" s="23"/>
      <c r="UG34" s="23"/>
      <c r="UH34" s="23"/>
      <c r="UI34" s="23"/>
      <c r="UJ34" s="23"/>
      <c r="UK34" s="23"/>
      <c r="UL34" s="23"/>
    </row>
    <row r="35" spans="1:558" s="17" customFormat="1" ht="12.75" customHeight="1" x14ac:dyDescent="0.25">
      <c r="A35" s="13"/>
      <c r="B35" s="13"/>
      <c r="C35" s="13"/>
      <c r="D35" s="13"/>
      <c r="E35" s="13"/>
      <c r="F35" s="11"/>
      <c r="G35" s="13"/>
      <c r="H35" s="268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3"/>
      <c r="NC35" s="23"/>
      <c r="ND35" s="23"/>
      <c r="NE35" s="23"/>
      <c r="NF35" s="23"/>
      <c r="NG35" s="23"/>
      <c r="NH35" s="23"/>
      <c r="NI35" s="23"/>
      <c r="NJ35" s="23"/>
      <c r="NK35" s="23"/>
      <c r="NL35" s="23"/>
      <c r="NM35" s="23"/>
      <c r="NN35" s="23"/>
      <c r="NO35" s="23"/>
      <c r="NP35" s="23"/>
      <c r="NQ35" s="23"/>
      <c r="NR35" s="23"/>
      <c r="NS35" s="23"/>
      <c r="NT35" s="23"/>
      <c r="NU35" s="23"/>
      <c r="NV35" s="23"/>
      <c r="NW35" s="23"/>
      <c r="NX35" s="23"/>
      <c r="NY35" s="23"/>
      <c r="NZ35" s="23"/>
      <c r="OA35" s="23"/>
      <c r="OB35" s="23"/>
      <c r="OC35" s="23"/>
      <c r="OD35" s="23"/>
      <c r="OE35" s="23"/>
      <c r="OF35" s="23"/>
      <c r="OG35" s="23"/>
      <c r="OH35" s="23"/>
      <c r="OI35" s="23"/>
      <c r="OJ35" s="23"/>
      <c r="OK35" s="23"/>
      <c r="OL35" s="23"/>
      <c r="OM35" s="23"/>
      <c r="ON35" s="23"/>
      <c r="OO35" s="23"/>
      <c r="OP35" s="23"/>
      <c r="OQ35" s="23"/>
      <c r="OR35" s="23"/>
      <c r="OS35" s="23"/>
      <c r="OT35" s="23"/>
      <c r="OU35" s="23"/>
      <c r="OV35" s="23"/>
      <c r="OW35" s="23"/>
      <c r="OX35" s="23"/>
      <c r="OY35" s="23"/>
      <c r="OZ35" s="23"/>
      <c r="PA35" s="23"/>
      <c r="PB35" s="23"/>
      <c r="PC35" s="23"/>
      <c r="PD35" s="23"/>
      <c r="PE35" s="23"/>
      <c r="PF35" s="23"/>
      <c r="PG35" s="23"/>
      <c r="PH35" s="23"/>
      <c r="PI35" s="23"/>
      <c r="PJ35" s="23"/>
      <c r="PK35" s="23"/>
      <c r="PL35" s="23"/>
      <c r="PM35" s="23"/>
      <c r="PN35" s="23"/>
      <c r="PO35" s="23"/>
      <c r="PP35" s="23"/>
      <c r="PQ35" s="23"/>
      <c r="PR35" s="23"/>
      <c r="PS35" s="23"/>
      <c r="PT35" s="23"/>
      <c r="PU35" s="23"/>
      <c r="PV35" s="23"/>
      <c r="PW35" s="23"/>
      <c r="PX35" s="23"/>
      <c r="PY35" s="23"/>
      <c r="PZ35" s="23"/>
      <c r="QA35" s="23"/>
      <c r="QB35" s="23"/>
      <c r="QC35" s="23"/>
      <c r="QD35" s="23"/>
      <c r="QE35" s="23"/>
      <c r="QF35" s="23"/>
      <c r="QG35" s="23"/>
      <c r="QH35" s="23"/>
      <c r="QI35" s="23"/>
      <c r="QJ35" s="23"/>
      <c r="QK35" s="23"/>
      <c r="QL35" s="23"/>
      <c r="QM35" s="23"/>
      <c r="QN35" s="23"/>
      <c r="QO35" s="23"/>
      <c r="QP35" s="23"/>
      <c r="QQ35" s="23"/>
      <c r="QR35" s="23"/>
      <c r="QS35" s="23"/>
      <c r="QT35" s="23"/>
      <c r="QU35" s="23"/>
      <c r="QV35" s="23"/>
      <c r="QW35" s="23"/>
      <c r="QX35" s="23"/>
      <c r="QY35" s="23"/>
      <c r="QZ35" s="23"/>
      <c r="RA35" s="23"/>
      <c r="RB35" s="23"/>
      <c r="RC35" s="23"/>
      <c r="RD35" s="23"/>
      <c r="RE35" s="23"/>
      <c r="RF35" s="23"/>
      <c r="RG35" s="23"/>
      <c r="RH35" s="23"/>
      <c r="RI35" s="23"/>
      <c r="RJ35" s="23"/>
      <c r="RK35" s="23"/>
      <c r="RL35" s="23"/>
      <c r="RM35" s="23"/>
      <c r="RN35" s="23"/>
      <c r="RO35" s="23"/>
      <c r="RP35" s="23"/>
      <c r="RQ35" s="23"/>
      <c r="RR35" s="23"/>
      <c r="RS35" s="23"/>
      <c r="RT35" s="23"/>
      <c r="RU35" s="23"/>
      <c r="RV35" s="23"/>
      <c r="RW35" s="23"/>
      <c r="RX35" s="23"/>
      <c r="RY35" s="23"/>
      <c r="RZ35" s="23"/>
      <c r="SA35" s="23"/>
      <c r="SB35" s="23"/>
      <c r="SC35" s="23"/>
      <c r="SD35" s="23"/>
      <c r="SE35" s="23"/>
      <c r="SF35" s="23"/>
      <c r="SG35" s="23"/>
      <c r="SH35" s="23"/>
      <c r="SI35" s="23"/>
      <c r="SJ35" s="23"/>
      <c r="SK35" s="23"/>
      <c r="SL35" s="23"/>
      <c r="SM35" s="23"/>
      <c r="SN35" s="23"/>
      <c r="SO35" s="23"/>
      <c r="SP35" s="23"/>
      <c r="SQ35" s="23"/>
      <c r="SR35" s="23"/>
      <c r="SS35" s="23"/>
      <c r="ST35" s="23"/>
      <c r="SU35" s="23"/>
      <c r="SV35" s="23"/>
      <c r="SW35" s="23"/>
      <c r="SX35" s="23"/>
      <c r="SY35" s="23"/>
      <c r="SZ35" s="23"/>
      <c r="TA35" s="23"/>
      <c r="TB35" s="23"/>
      <c r="TC35" s="23"/>
      <c r="TD35" s="23"/>
      <c r="TE35" s="23"/>
      <c r="TF35" s="23"/>
      <c r="TG35" s="23"/>
      <c r="TH35" s="23"/>
      <c r="TI35" s="23"/>
      <c r="TJ35" s="23"/>
      <c r="TK35" s="23"/>
      <c r="TL35" s="23"/>
      <c r="TM35" s="23"/>
      <c r="TN35" s="23"/>
      <c r="TO35" s="23"/>
      <c r="TP35" s="23"/>
      <c r="TQ35" s="23"/>
      <c r="TR35" s="23"/>
      <c r="TS35" s="23"/>
      <c r="TT35" s="23"/>
      <c r="TU35" s="23"/>
      <c r="TV35" s="23"/>
      <c r="TW35" s="23"/>
      <c r="TX35" s="23"/>
      <c r="TY35" s="23"/>
      <c r="TZ35" s="23"/>
      <c r="UA35" s="23"/>
      <c r="UB35" s="23"/>
      <c r="UC35" s="23"/>
      <c r="UD35" s="23"/>
      <c r="UE35" s="23"/>
      <c r="UF35" s="23"/>
      <c r="UG35" s="23"/>
      <c r="UH35" s="23"/>
      <c r="UI35" s="23"/>
      <c r="UJ35" s="23"/>
      <c r="UK35" s="23"/>
      <c r="UL35" s="23"/>
    </row>
    <row r="36" spans="1:558" s="17" customFormat="1" ht="12.75" customHeight="1" x14ac:dyDescent="0.25">
      <c r="A36" s="13"/>
      <c r="B36" s="13"/>
      <c r="C36" s="13"/>
      <c r="D36" s="13"/>
      <c r="E36" s="13"/>
      <c r="F36" s="11"/>
      <c r="G36" s="13"/>
      <c r="H36" s="199" t="s">
        <v>6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  <c r="KS36" s="23"/>
      <c r="KT36" s="23"/>
      <c r="KU36" s="23"/>
      <c r="KV36" s="23"/>
      <c r="KW36" s="23"/>
      <c r="KX36" s="23"/>
      <c r="KY36" s="23"/>
      <c r="KZ36" s="23"/>
      <c r="LA36" s="23"/>
      <c r="LB36" s="23"/>
      <c r="LC36" s="23"/>
      <c r="LD36" s="23"/>
      <c r="LE36" s="23"/>
      <c r="LF36" s="23"/>
      <c r="LG36" s="23"/>
      <c r="LH36" s="23"/>
      <c r="LI36" s="23"/>
      <c r="LJ36" s="23"/>
      <c r="LK36" s="23"/>
      <c r="LL36" s="23"/>
      <c r="LM36" s="23"/>
      <c r="LN36" s="23"/>
      <c r="LO36" s="23"/>
      <c r="LP36" s="23"/>
      <c r="LQ36" s="23"/>
      <c r="LR36" s="23"/>
      <c r="LS36" s="23"/>
      <c r="LT36" s="23"/>
      <c r="LU36" s="23"/>
      <c r="LV36" s="23"/>
      <c r="LW36" s="23"/>
      <c r="LX36" s="23"/>
      <c r="LY36" s="23"/>
      <c r="LZ36" s="23"/>
      <c r="MA36" s="23"/>
      <c r="MB36" s="23"/>
      <c r="MC36" s="23"/>
      <c r="MD36" s="23"/>
      <c r="ME36" s="23"/>
      <c r="MF36" s="23"/>
      <c r="MG36" s="23"/>
      <c r="MH36" s="23"/>
      <c r="MI36" s="23"/>
      <c r="MJ36" s="23"/>
      <c r="MK36" s="23"/>
      <c r="ML36" s="23"/>
      <c r="MM36" s="23"/>
      <c r="MN36" s="23"/>
      <c r="MO36" s="23"/>
      <c r="MP36" s="23"/>
      <c r="MQ36" s="23"/>
      <c r="MR36" s="23"/>
      <c r="MS36" s="23"/>
      <c r="MT36" s="23"/>
      <c r="MU36" s="23"/>
      <c r="MV36" s="23"/>
      <c r="MW36" s="23"/>
      <c r="MX36" s="23"/>
      <c r="MY36" s="23"/>
      <c r="MZ36" s="23"/>
      <c r="NA36" s="23"/>
      <c r="NB36" s="23"/>
      <c r="NC36" s="23"/>
      <c r="ND36" s="23"/>
      <c r="NE36" s="23"/>
      <c r="NF36" s="23"/>
      <c r="NG36" s="23"/>
      <c r="NH36" s="23"/>
      <c r="NI36" s="23"/>
      <c r="NJ36" s="23"/>
      <c r="NK36" s="23"/>
      <c r="NL36" s="23"/>
      <c r="NM36" s="23"/>
      <c r="NN36" s="23"/>
      <c r="NO36" s="23"/>
      <c r="NP36" s="23"/>
      <c r="NQ36" s="23"/>
      <c r="NR36" s="23"/>
      <c r="NS36" s="23"/>
      <c r="NT36" s="23"/>
      <c r="NU36" s="23"/>
      <c r="NV36" s="23"/>
      <c r="NW36" s="23"/>
      <c r="NX36" s="23"/>
      <c r="NY36" s="23"/>
      <c r="NZ36" s="23"/>
      <c r="OA36" s="23"/>
      <c r="OB36" s="23"/>
      <c r="OC36" s="23"/>
      <c r="OD36" s="23"/>
      <c r="OE36" s="23"/>
      <c r="OF36" s="23"/>
      <c r="OG36" s="23"/>
      <c r="OH36" s="23"/>
      <c r="OI36" s="23"/>
      <c r="OJ36" s="23"/>
      <c r="OK36" s="23"/>
      <c r="OL36" s="23"/>
      <c r="OM36" s="23"/>
      <c r="ON36" s="23"/>
      <c r="OO36" s="23"/>
      <c r="OP36" s="23"/>
      <c r="OQ36" s="23"/>
      <c r="OR36" s="23"/>
      <c r="OS36" s="23"/>
      <c r="OT36" s="23"/>
      <c r="OU36" s="23"/>
      <c r="OV36" s="23"/>
      <c r="OW36" s="23"/>
      <c r="OX36" s="23"/>
      <c r="OY36" s="23"/>
      <c r="OZ36" s="23"/>
      <c r="PA36" s="23"/>
      <c r="PB36" s="23"/>
      <c r="PC36" s="23"/>
      <c r="PD36" s="23"/>
      <c r="PE36" s="23"/>
      <c r="PF36" s="23"/>
      <c r="PG36" s="23"/>
      <c r="PH36" s="23"/>
      <c r="PI36" s="23"/>
      <c r="PJ36" s="23"/>
      <c r="PK36" s="23"/>
      <c r="PL36" s="23"/>
      <c r="PM36" s="23"/>
      <c r="PN36" s="23"/>
      <c r="PO36" s="23"/>
      <c r="PP36" s="23"/>
      <c r="PQ36" s="23"/>
      <c r="PR36" s="23"/>
      <c r="PS36" s="23"/>
      <c r="PT36" s="23"/>
      <c r="PU36" s="23"/>
      <c r="PV36" s="23"/>
      <c r="PW36" s="23"/>
      <c r="PX36" s="23"/>
      <c r="PY36" s="23"/>
      <c r="PZ36" s="23"/>
      <c r="QA36" s="23"/>
      <c r="QB36" s="23"/>
      <c r="QC36" s="23"/>
      <c r="QD36" s="23"/>
      <c r="QE36" s="23"/>
      <c r="QF36" s="23"/>
      <c r="QG36" s="23"/>
      <c r="QH36" s="23"/>
      <c r="QI36" s="23"/>
      <c r="QJ36" s="23"/>
      <c r="QK36" s="23"/>
      <c r="QL36" s="23"/>
      <c r="QM36" s="23"/>
      <c r="QN36" s="23"/>
      <c r="QO36" s="23"/>
      <c r="QP36" s="23"/>
      <c r="QQ36" s="23"/>
      <c r="QR36" s="23"/>
      <c r="QS36" s="23"/>
      <c r="QT36" s="23"/>
      <c r="QU36" s="23"/>
      <c r="QV36" s="23"/>
      <c r="QW36" s="23"/>
      <c r="QX36" s="23"/>
      <c r="QY36" s="23"/>
      <c r="QZ36" s="23"/>
      <c r="RA36" s="23"/>
      <c r="RB36" s="23"/>
      <c r="RC36" s="23"/>
      <c r="RD36" s="23"/>
      <c r="RE36" s="23"/>
      <c r="RF36" s="23"/>
      <c r="RG36" s="23"/>
      <c r="RH36" s="23"/>
      <c r="RI36" s="23"/>
      <c r="RJ36" s="23"/>
      <c r="RK36" s="23"/>
      <c r="RL36" s="23"/>
      <c r="RM36" s="23"/>
      <c r="RN36" s="23"/>
      <c r="RO36" s="23"/>
      <c r="RP36" s="23"/>
      <c r="RQ36" s="23"/>
      <c r="RR36" s="23"/>
      <c r="RS36" s="23"/>
      <c r="RT36" s="23"/>
      <c r="RU36" s="23"/>
      <c r="RV36" s="23"/>
      <c r="RW36" s="23"/>
      <c r="RX36" s="23"/>
      <c r="RY36" s="23"/>
      <c r="RZ36" s="23"/>
      <c r="SA36" s="23"/>
      <c r="SB36" s="23"/>
      <c r="SC36" s="23"/>
      <c r="SD36" s="23"/>
      <c r="SE36" s="23"/>
      <c r="SF36" s="23"/>
      <c r="SG36" s="23"/>
      <c r="SH36" s="23"/>
      <c r="SI36" s="23"/>
      <c r="SJ36" s="23"/>
      <c r="SK36" s="23"/>
      <c r="SL36" s="23"/>
      <c r="SM36" s="23"/>
      <c r="SN36" s="23"/>
      <c r="SO36" s="23"/>
      <c r="SP36" s="23"/>
      <c r="SQ36" s="23"/>
      <c r="SR36" s="23"/>
      <c r="SS36" s="23"/>
      <c r="ST36" s="23"/>
      <c r="SU36" s="23"/>
      <c r="SV36" s="23"/>
      <c r="SW36" s="23"/>
      <c r="SX36" s="23"/>
      <c r="SY36" s="23"/>
      <c r="SZ36" s="23"/>
      <c r="TA36" s="23"/>
      <c r="TB36" s="23"/>
      <c r="TC36" s="23"/>
      <c r="TD36" s="23"/>
      <c r="TE36" s="23"/>
      <c r="TF36" s="23"/>
      <c r="TG36" s="23"/>
      <c r="TH36" s="23"/>
      <c r="TI36" s="23"/>
      <c r="TJ36" s="23"/>
      <c r="TK36" s="23"/>
      <c r="TL36" s="23"/>
      <c r="TM36" s="23"/>
      <c r="TN36" s="23"/>
      <c r="TO36" s="23"/>
      <c r="TP36" s="23"/>
      <c r="TQ36" s="23"/>
      <c r="TR36" s="23"/>
      <c r="TS36" s="23"/>
      <c r="TT36" s="23"/>
      <c r="TU36" s="23"/>
      <c r="TV36" s="23"/>
      <c r="TW36" s="23"/>
      <c r="TX36" s="23"/>
      <c r="TY36" s="23"/>
      <c r="TZ36" s="23"/>
      <c r="UA36" s="23"/>
      <c r="UB36" s="23"/>
      <c r="UC36" s="23"/>
      <c r="UD36" s="23"/>
      <c r="UE36" s="23"/>
      <c r="UF36" s="23"/>
      <c r="UG36" s="23"/>
      <c r="UH36" s="23"/>
      <c r="UI36" s="23"/>
      <c r="UJ36" s="23"/>
      <c r="UK36" s="23"/>
      <c r="UL36" s="23"/>
    </row>
    <row r="37" spans="1:558" s="17" customFormat="1" ht="12.75" customHeight="1" x14ac:dyDescent="0.25">
      <c r="A37" s="13"/>
      <c r="B37" s="13"/>
      <c r="C37" s="13"/>
      <c r="D37" s="13"/>
      <c r="E37" s="13"/>
      <c r="F37" s="11"/>
      <c r="G37" s="13"/>
      <c r="H37" s="199" t="s">
        <v>59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  <c r="KH37" s="23"/>
      <c r="KI37" s="23"/>
      <c r="KJ37" s="23"/>
      <c r="KK37" s="23"/>
      <c r="KL37" s="23"/>
      <c r="KM37" s="23"/>
      <c r="KN37" s="23"/>
      <c r="KO37" s="23"/>
      <c r="KP37" s="23"/>
      <c r="KQ37" s="23"/>
      <c r="KR37" s="23"/>
      <c r="KS37" s="23"/>
      <c r="KT37" s="23"/>
      <c r="KU37" s="23"/>
      <c r="KV37" s="23"/>
      <c r="KW37" s="23"/>
      <c r="KX37" s="23"/>
      <c r="KY37" s="23"/>
      <c r="KZ37" s="23"/>
      <c r="LA37" s="23"/>
      <c r="LB37" s="23"/>
      <c r="LC37" s="23"/>
      <c r="LD37" s="23"/>
      <c r="LE37" s="23"/>
      <c r="LF37" s="23"/>
      <c r="LG37" s="23"/>
      <c r="LH37" s="23"/>
      <c r="LI37" s="23"/>
      <c r="LJ37" s="23"/>
      <c r="LK37" s="23"/>
      <c r="LL37" s="23"/>
      <c r="LM37" s="23"/>
      <c r="LN37" s="23"/>
      <c r="LO37" s="23"/>
      <c r="LP37" s="23"/>
      <c r="LQ37" s="23"/>
      <c r="LR37" s="23"/>
      <c r="LS37" s="23"/>
      <c r="LT37" s="23"/>
      <c r="LU37" s="23"/>
      <c r="LV37" s="23"/>
      <c r="LW37" s="23"/>
      <c r="LX37" s="23"/>
      <c r="LY37" s="23"/>
      <c r="LZ37" s="23"/>
      <c r="MA37" s="23"/>
      <c r="MB37" s="23"/>
      <c r="MC37" s="23"/>
      <c r="MD37" s="23"/>
      <c r="ME37" s="23"/>
      <c r="MF37" s="23"/>
      <c r="MG37" s="23"/>
      <c r="MH37" s="23"/>
      <c r="MI37" s="23"/>
      <c r="MJ37" s="23"/>
      <c r="MK37" s="23"/>
      <c r="ML37" s="23"/>
      <c r="MM37" s="23"/>
      <c r="MN37" s="23"/>
      <c r="MO37" s="23"/>
      <c r="MP37" s="23"/>
      <c r="MQ37" s="23"/>
      <c r="MR37" s="23"/>
      <c r="MS37" s="23"/>
      <c r="MT37" s="23"/>
      <c r="MU37" s="23"/>
      <c r="MV37" s="23"/>
      <c r="MW37" s="23"/>
      <c r="MX37" s="23"/>
      <c r="MY37" s="23"/>
      <c r="MZ37" s="23"/>
      <c r="NA37" s="23"/>
      <c r="NB37" s="23"/>
      <c r="NC37" s="23"/>
      <c r="ND37" s="23"/>
      <c r="NE37" s="23"/>
      <c r="NF37" s="23"/>
      <c r="NG37" s="23"/>
      <c r="NH37" s="23"/>
      <c r="NI37" s="23"/>
      <c r="NJ37" s="23"/>
      <c r="NK37" s="23"/>
      <c r="NL37" s="23"/>
      <c r="NM37" s="23"/>
      <c r="NN37" s="23"/>
      <c r="NO37" s="23"/>
      <c r="NP37" s="23"/>
      <c r="NQ37" s="23"/>
      <c r="NR37" s="23"/>
      <c r="NS37" s="23"/>
      <c r="NT37" s="23"/>
      <c r="NU37" s="23"/>
      <c r="NV37" s="23"/>
      <c r="NW37" s="23"/>
      <c r="NX37" s="23"/>
      <c r="NY37" s="23"/>
      <c r="NZ37" s="23"/>
      <c r="OA37" s="23"/>
      <c r="OB37" s="23"/>
      <c r="OC37" s="23"/>
      <c r="OD37" s="23"/>
      <c r="OE37" s="23"/>
      <c r="OF37" s="23"/>
      <c r="OG37" s="23"/>
      <c r="OH37" s="23"/>
      <c r="OI37" s="23"/>
      <c r="OJ37" s="23"/>
      <c r="OK37" s="23"/>
      <c r="OL37" s="23"/>
      <c r="OM37" s="23"/>
      <c r="ON37" s="23"/>
      <c r="OO37" s="23"/>
      <c r="OP37" s="23"/>
      <c r="OQ37" s="23"/>
      <c r="OR37" s="23"/>
      <c r="OS37" s="23"/>
      <c r="OT37" s="23"/>
      <c r="OU37" s="23"/>
      <c r="OV37" s="23"/>
      <c r="OW37" s="23"/>
      <c r="OX37" s="23"/>
      <c r="OY37" s="23"/>
      <c r="OZ37" s="23"/>
      <c r="PA37" s="23"/>
      <c r="PB37" s="23"/>
      <c r="PC37" s="23"/>
      <c r="PD37" s="23"/>
      <c r="PE37" s="23"/>
      <c r="PF37" s="23"/>
      <c r="PG37" s="23"/>
      <c r="PH37" s="23"/>
      <c r="PI37" s="23"/>
      <c r="PJ37" s="23"/>
      <c r="PK37" s="23"/>
      <c r="PL37" s="23"/>
      <c r="PM37" s="23"/>
      <c r="PN37" s="23"/>
      <c r="PO37" s="23"/>
      <c r="PP37" s="23"/>
      <c r="PQ37" s="23"/>
      <c r="PR37" s="23"/>
      <c r="PS37" s="23"/>
      <c r="PT37" s="23"/>
      <c r="PU37" s="23"/>
      <c r="PV37" s="23"/>
      <c r="PW37" s="23"/>
      <c r="PX37" s="23"/>
      <c r="PY37" s="23"/>
      <c r="PZ37" s="23"/>
      <c r="QA37" s="23"/>
      <c r="QB37" s="23"/>
      <c r="QC37" s="23"/>
      <c r="QD37" s="23"/>
      <c r="QE37" s="23"/>
      <c r="QF37" s="23"/>
      <c r="QG37" s="23"/>
      <c r="QH37" s="23"/>
      <c r="QI37" s="23"/>
      <c r="QJ37" s="23"/>
      <c r="QK37" s="23"/>
      <c r="QL37" s="23"/>
      <c r="QM37" s="23"/>
      <c r="QN37" s="23"/>
      <c r="QO37" s="23"/>
      <c r="QP37" s="23"/>
      <c r="QQ37" s="23"/>
      <c r="QR37" s="23"/>
      <c r="QS37" s="23"/>
      <c r="QT37" s="23"/>
      <c r="QU37" s="23"/>
      <c r="QV37" s="23"/>
      <c r="QW37" s="23"/>
      <c r="QX37" s="23"/>
      <c r="QY37" s="23"/>
      <c r="QZ37" s="23"/>
      <c r="RA37" s="23"/>
      <c r="RB37" s="23"/>
      <c r="RC37" s="23"/>
      <c r="RD37" s="23"/>
      <c r="RE37" s="23"/>
      <c r="RF37" s="23"/>
      <c r="RG37" s="23"/>
      <c r="RH37" s="23"/>
      <c r="RI37" s="23"/>
      <c r="RJ37" s="23"/>
      <c r="RK37" s="23"/>
      <c r="RL37" s="23"/>
      <c r="RM37" s="23"/>
      <c r="RN37" s="23"/>
      <c r="RO37" s="23"/>
      <c r="RP37" s="23"/>
      <c r="RQ37" s="23"/>
      <c r="RR37" s="23"/>
      <c r="RS37" s="23"/>
      <c r="RT37" s="23"/>
      <c r="RU37" s="23"/>
      <c r="RV37" s="23"/>
      <c r="RW37" s="23"/>
      <c r="RX37" s="23"/>
      <c r="RY37" s="23"/>
      <c r="RZ37" s="23"/>
      <c r="SA37" s="23"/>
      <c r="SB37" s="23"/>
      <c r="SC37" s="23"/>
      <c r="SD37" s="23"/>
      <c r="SE37" s="23"/>
      <c r="SF37" s="23"/>
      <c r="SG37" s="23"/>
      <c r="SH37" s="23"/>
      <c r="SI37" s="23"/>
      <c r="SJ37" s="23"/>
      <c r="SK37" s="23"/>
      <c r="SL37" s="23"/>
      <c r="SM37" s="23"/>
      <c r="SN37" s="23"/>
      <c r="SO37" s="23"/>
      <c r="SP37" s="23"/>
      <c r="SQ37" s="23"/>
      <c r="SR37" s="23"/>
      <c r="SS37" s="23"/>
      <c r="ST37" s="23"/>
      <c r="SU37" s="23"/>
      <c r="SV37" s="23"/>
      <c r="SW37" s="23"/>
      <c r="SX37" s="23"/>
      <c r="SY37" s="23"/>
      <c r="SZ37" s="23"/>
      <c r="TA37" s="23"/>
      <c r="TB37" s="23"/>
      <c r="TC37" s="23"/>
      <c r="TD37" s="23"/>
      <c r="TE37" s="23"/>
      <c r="TF37" s="23"/>
      <c r="TG37" s="23"/>
      <c r="TH37" s="23"/>
      <c r="TI37" s="23"/>
      <c r="TJ37" s="23"/>
      <c r="TK37" s="23"/>
      <c r="TL37" s="23"/>
      <c r="TM37" s="23"/>
      <c r="TN37" s="23"/>
      <c r="TO37" s="23"/>
      <c r="TP37" s="23"/>
      <c r="TQ37" s="23"/>
      <c r="TR37" s="23"/>
      <c r="TS37" s="23"/>
      <c r="TT37" s="23"/>
      <c r="TU37" s="23"/>
      <c r="TV37" s="23"/>
      <c r="TW37" s="23"/>
      <c r="TX37" s="23"/>
      <c r="TY37" s="23"/>
      <c r="TZ37" s="23"/>
      <c r="UA37" s="23"/>
      <c r="UB37" s="23"/>
      <c r="UC37" s="23"/>
      <c r="UD37" s="23"/>
      <c r="UE37" s="23"/>
      <c r="UF37" s="23"/>
      <c r="UG37" s="23"/>
      <c r="UH37" s="23"/>
      <c r="UI37" s="23"/>
      <c r="UJ37" s="23"/>
      <c r="UK37" s="23"/>
      <c r="UL37" s="23"/>
    </row>
    <row r="38" spans="1:558" s="17" customFormat="1" ht="12.75" customHeight="1" x14ac:dyDescent="0.25">
      <c r="A38" s="13"/>
      <c r="B38" s="13"/>
      <c r="C38" s="13"/>
      <c r="D38" s="13"/>
      <c r="E38" s="13"/>
      <c r="F38" s="18"/>
      <c r="G38" s="13"/>
      <c r="H38" s="199" t="s">
        <v>10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3"/>
      <c r="NI38" s="23"/>
      <c r="NJ38" s="23"/>
      <c r="NK38" s="23"/>
      <c r="NL38" s="23"/>
      <c r="NM38" s="23"/>
      <c r="NN38" s="23"/>
      <c r="NO38" s="23"/>
      <c r="NP38" s="23"/>
      <c r="NQ38" s="23"/>
      <c r="NR38" s="23"/>
      <c r="NS38" s="23"/>
      <c r="NT38" s="23"/>
      <c r="NU38" s="23"/>
      <c r="NV38" s="23"/>
      <c r="NW38" s="23"/>
      <c r="NX38" s="23"/>
      <c r="NY38" s="23"/>
      <c r="NZ38" s="23"/>
      <c r="OA38" s="23"/>
      <c r="OB38" s="23"/>
      <c r="OC38" s="23"/>
      <c r="OD38" s="23"/>
      <c r="OE38" s="23"/>
      <c r="OF38" s="23"/>
      <c r="OG38" s="23"/>
      <c r="OH38" s="23"/>
      <c r="OI38" s="23"/>
      <c r="OJ38" s="23"/>
      <c r="OK38" s="23"/>
      <c r="OL38" s="23"/>
      <c r="OM38" s="23"/>
      <c r="ON38" s="23"/>
      <c r="OO38" s="23"/>
      <c r="OP38" s="23"/>
      <c r="OQ38" s="23"/>
      <c r="OR38" s="23"/>
      <c r="OS38" s="23"/>
      <c r="OT38" s="23"/>
      <c r="OU38" s="23"/>
      <c r="OV38" s="23"/>
      <c r="OW38" s="23"/>
      <c r="OX38" s="23"/>
      <c r="OY38" s="23"/>
      <c r="OZ38" s="23"/>
      <c r="PA38" s="23"/>
      <c r="PB38" s="23"/>
      <c r="PC38" s="23"/>
      <c r="PD38" s="23"/>
      <c r="PE38" s="23"/>
      <c r="PF38" s="23"/>
      <c r="PG38" s="23"/>
      <c r="PH38" s="23"/>
      <c r="PI38" s="23"/>
      <c r="PJ38" s="23"/>
      <c r="PK38" s="23"/>
      <c r="PL38" s="23"/>
      <c r="PM38" s="23"/>
      <c r="PN38" s="23"/>
      <c r="PO38" s="23"/>
      <c r="PP38" s="23"/>
      <c r="PQ38" s="23"/>
      <c r="PR38" s="23"/>
      <c r="PS38" s="23"/>
      <c r="PT38" s="23"/>
      <c r="PU38" s="23"/>
      <c r="PV38" s="23"/>
      <c r="PW38" s="23"/>
      <c r="PX38" s="23"/>
      <c r="PY38" s="23"/>
      <c r="PZ38" s="23"/>
      <c r="QA38" s="23"/>
      <c r="QB38" s="23"/>
      <c r="QC38" s="23"/>
      <c r="QD38" s="23"/>
      <c r="QE38" s="23"/>
      <c r="QF38" s="23"/>
      <c r="QG38" s="23"/>
      <c r="QH38" s="23"/>
      <c r="QI38" s="23"/>
      <c r="QJ38" s="23"/>
      <c r="QK38" s="23"/>
      <c r="QL38" s="23"/>
      <c r="QM38" s="23"/>
      <c r="QN38" s="23"/>
      <c r="QO38" s="23"/>
      <c r="QP38" s="23"/>
      <c r="QQ38" s="23"/>
      <c r="QR38" s="23"/>
      <c r="QS38" s="23"/>
      <c r="QT38" s="23"/>
      <c r="QU38" s="23"/>
      <c r="QV38" s="23"/>
      <c r="QW38" s="23"/>
      <c r="QX38" s="23"/>
      <c r="QY38" s="23"/>
      <c r="QZ38" s="23"/>
      <c r="RA38" s="23"/>
      <c r="RB38" s="23"/>
      <c r="RC38" s="23"/>
      <c r="RD38" s="23"/>
      <c r="RE38" s="23"/>
      <c r="RF38" s="23"/>
      <c r="RG38" s="23"/>
      <c r="RH38" s="23"/>
      <c r="RI38" s="23"/>
      <c r="RJ38" s="23"/>
      <c r="RK38" s="23"/>
      <c r="RL38" s="23"/>
      <c r="RM38" s="23"/>
      <c r="RN38" s="23"/>
      <c r="RO38" s="23"/>
      <c r="RP38" s="23"/>
      <c r="RQ38" s="23"/>
      <c r="RR38" s="23"/>
      <c r="RS38" s="23"/>
      <c r="RT38" s="23"/>
      <c r="RU38" s="23"/>
      <c r="RV38" s="23"/>
      <c r="RW38" s="23"/>
      <c r="RX38" s="23"/>
      <c r="RY38" s="23"/>
      <c r="RZ38" s="23"/>
      <c r="SA38" s="23"/>
      <c r="SB38" s="23"/>
      <c r="SC38" s="23"/>
      <c r="SD38" s="23"/>
      <c r="SE38" s="23"/>
      <c r="SF38" s="23"/>
      <c r="SG38" s="23"/>
      <c r="SH38" s="23"/>
      <c r="SI38" s="23"/>
      <c r="SJ38" s="23"/>
      <c r="SK38" s="23"/>
      <c r="SL38" s="23"/>
      <c r="SM38" s="23"/>
      <c r="SN38" s="23"/>
      <c r="SO38" s="23"/>
      <c r="SP38" s="23"/>
      <c r="SQ38" s="23"/>
      <c r="SR38" s="23"/>
      <c r="SS38" s="23"/>
      <c r="ST38" s="23"/>
      <c r="SU38" s="23"/>
      <c r="SV38" s="23"/>
      <c r="SW38" s="23"/>
      <c r="SX38" s="23"/>
      <c r="SY38" s="23"/>
      <c r="SZ38" s="23"/>
      <c r="TA38" s="23"/>
      <c r="TB38" s="23"/>
      <c r="TC38" s="23"/>
      <c r="TD38" s="23"/>
      <c r="TE38" s="23"/>
      <c r="TF38" s="23"/>
      <c r="TG38" s="23"/>
      <c r="TH38" s="23"/>
      <c r="TI38" s="23"/>
      <c r="TJ38" s="23"/>
      <c r="TK38" s="23"/>
      <c r="TL38" s="23"/>
      <c r="TM38" s="23"/>
      <c r="TN38" s="23"/>
      <c r="TO38" s="23"/>
      <c r="TP38" s="23"/>
      <c r="TQ38" s="23"/>
      <c r="TR38" s="23"/>
      <c r="TS38" s="23"/>
      <c r="TT38" s="23"/>
      <c r="TU38" s="23"/>
      <c r="TV38" s="23"/>
      <c r="TW38" s="23"/>
      <c r="TX38" s="23"/>
      <c r="TY38" s="23"/>
      <c r="TZ38" s="23"/>
      <c r="UA38" s="23"/>
      <c r="UB38" s="23"/>
      <c r="UC38" s="23"/>
      <c r="UD38" s="23"/>
      <c r="UE38" s="23"/>
      <c r="UF38" s="23"/>
      <c r="UG38" s="23"/>
      <c r="UH38" s="23"/>
      <c r="UI38" s="23"/>
      <c r="UJ38" s="23"/>
      <c r="UK38" s="23"/>
      <c r="UL38" s="23"/>
    </row>
    <row r="39" spans="1:558" s="17" customFormat="1" ht="12.75" customHeight="1" x14ac:dyDescent="0.25">
      <c r="A39" s="13"/>
      <c r="B39" s="13"/>
      <c r="C39" s="13"/>
      <c r="D39" s="13"/>
      <c r="E39" s="13"/>
      <c r="F39" s="18"/>
      <c r="G39" s="13"/>
      <c r="H39" s="270" t="s">
        <v>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  <c r="IX39" s="23"/>
      <c r="IY39" s="23"/>
      <c r="IZ39" s="23"/>
      <c r="JA39" s="23"/>
      <c r="JB39" s="23"/>
      <c r="JC39" s="23"/>
      <c r="JD39" s="23"/>
      <c r="JE39" s="23"/>
      <c r="JF39" s="23"/>
      <c r="JG39" s="23"/>
      <c r="JH39" s="23"/>
      <c r="JI39" s="23"/>
      <c r="JJ39" s="23"/>
      <c r="JK39" s="23"/>
      <c r="JL39" s="23"/>
      <c r="JM39" s="23"/>
      <c r="JN39" s="23"/>
      <c r="JO39" s="23"/>
      <c r="JP39" s="23"/>
      <c r="JQ39" s="23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3"/>
      <c r="NI39" s="23"/>
      <c r="NJ39" s="23"/>
      <c r="NK39" s="23"/>
      <c r="NL39" s="23"/>
      <c r="NM39" s="23"/>
      <c r="NN39" s="23"/>
      <c r="NO39" s="23"/>
      <c r="NP39" s="23"/>
      <c r="NQ39" s="23"/>
      <c r="NR39" s="23"/>
      <c r="NS39" s="23"/>
      <c r="NT39" s="23"/>
      <c r="NU39" s="23"/>
      <c r="NV39" s="23"/>
      <c r="NW39" s="23"/>
      <c r="NX39" s="23"/>
      <c r="NY39" s="23"/>
      <c r="NZ39" s="23"/>
      <c r="OA39" s="23"/>
      <c r="OB39" s="23"/>
      <c r="OC39" s="23"/>
      <c r="OD39" s="23"/>
      <c r="OE39" s="23"/>
      <c r="OF39" s="23"/>
      <c r="OG39" s="23"/>
      <c r="OH39" s="23"/>
      <c r="OI39" s="23"/>
      <c r="OJ39" s="23"/>
      <c r="OK39" s="23"/>
      <c r="OL39" s="23"/>
      <c r="OM39" s="23"/>
      <c r="ON39" s="23"/>
      <c r="OO39" s="23"/>
      <c r="OP39" s="23"/>
      <c r="OQ39" s="23"/>
      <c r="OR39" s="23"/>
      <c r="OS39" s="23"/>
      <c r="OT39" s="23"/>
      <c r="OU39" s="23"/>
      <c r="OV39" s="23"/>
      <c r="OW39" s="23"/>
      <c r="OX39" s="23"/>
      <c r="OY39" s="23"/>
      <c r="OZ39" s="23"/>
      <c r="PA39" s="23"/>
      <c r="PB39" s="23"/>
      <c r="PC39" s="23"/>
      <c r="PD39" s="23"/>
      <c r="PE39" s="23"/>
      <c r="PF39" s="23"/>
      <c r="PG39" s="23"/>
      <c r="PH39" s="23"/>
      <c r="PI39" s="23"/>
      <c r="PJ39" s="23"/>
      <c r="PK39" s="23"/>
      <c r="PL39" s="23"/>
      <c r="PM39" s="23"/>
      <c r="PN39" s="23"/>
      <c r="PO39" s="23"/>
      <c r="PP39" s="23"/>
      <c r="PQ39" s="23"/>
      <c r="PR39" s="23"/>
      <c r="PS39" s="23"/>
      <c r="PT39" s="23"/>
      <c r="PU39" s="23"/>
      <c r="PV39" s="23"/>
      <c r="PW39" s="23"/>
      <c r="PX39" s="23"/>
      <c r="PY39" s="23"/>
      <c r="PZ39" s="23"/>
      <c r="QA39" s="23"/>
      <c r="QB39" s="23"/>
      <c r="QC39" s="23"/>
      <c r="QD39" s="23"/>
      <c r="QE39" s="23"/>
      <c r="QF39" s="23"/>
      <c r="QG39" s="23"/>
      <c r="QH39" s="23"/>
      <c r="QI39" s="23"/>
      <c r="QJ39" s="23"/>
      <c r="QK39" s="23"/>
      <c r="QL39" s="23"/>
      <c r="QM39" s="23"/>
      <c r="QN39" s="23"/>
      <c r="QO39" s="23"/>
      <c r="QP39" s="23"/>
      <c r="QQ39" s="23"/>
      <c r="QR39" s="23"/>
      <c r="QS39" s="23"/>
      <c r="QT39" s="23"/>
      <c r="QU39" s="23"/>
      <c r="QV39" s="23"/>
      <c r="QW39" s="23"/>
      <c r="QX39" s="23"/>
      <c r="QY39" s="23"/>
      <c r="QZ39" s="23"/>
      <c r="RA39" s="23"/>
      <c r="RB39" s="23"/>
      <c r="RC39" s="23"/>
      <c r="RD39" s="23"/>
      <c r="RE39" s="23"/>
      <c r="RF39" s="23"/>
      <c r="RG39" s="23"/>
      <c r="RH39" s="23"/>
      <c r="RI39" s="23"/>
      <c r="RJ39" s="23"/>
      <c r="RK39" s="23"/>
      <c r="RL39" s="23"/>
      <c r="RM39" s="23"/>
      <c r="RN39" s="23"/>
      <c r="RO39" s="23"/>
      <c r="RP39" s="23"/>
      <c r="RQ39" s="23"/>
      <c r="RR39" s="23"/>
      <c r="RS39" s="23"/>
      <c r="RT39" s="23"/>
      <c r="RU39" s="23"/>
      <c r="RV39" s="23"/>
      <c r="RW39" s="23"/>
      <c r="RX39" s="23"/>
      <c r="RY39" s="23"/>
      <c r="RZ39" s="23"/>
      <c r="SA39" s="23"/>
      <c r="SB39" s="23"/>
      <c r="SC39" s="23"/>
      <c r="SD39" s="23"/>
      <c r="SE39" s="23"/>
      <c r="SF39" s="23"/>
      <c r="SG39" s="23"/>
      <c r="SH39" s="23"/>
      <c r="SI39" s="23"/>
      <c r="SJ39" s="23"/>
      <c r="SK39" s="23"/>
      <c r="SL39" s="23"/>
      <c r="SM39" s="23"/>
      <c r="SN39" s="23"/>
      <c r="SO39" s="23"/>
      <c r="SP39" s="23"/>
      <c r="SQ39" s="23"/>
      <c r="SR39" s="23"/>
      <c r="SS39" s="23"/>
      <c r="ST39" s="23"/>
      <c r="SU39" s="23"/>
      <c r="SV39" s="23"/>
      <c r="SW39" s="23"/>
      <c r="SX39" s="23"/>
      <c r="SY39" s="23"/>
      <c r="SZ39" s="23"/>
      <c r="TA39" s="23"/>
      <c r="TB39" s="23"/>
      <c r="TC39" s="23"/>
      <c r="TD39" s="23"/>
      <c r="TE39" s="23"/>
      <c r="TF39" s="23"/>
      <c r="TG39" s="23"/>
      <c r="TH39" s="23"/>
      <c r="TI39" s="23"/>
      <c r="TJ39" s="23"/>
      <c r="TK39" s="23"/>
      <c r="TL39" s="23"/>
      <c r="TM39" s="23"/>
      <c r="TN39" s="23"/>
      <c r="TO39" s="23"/>
      <c r="TP39" s="23"/>
      <c r="TQ39" s="23"/>
      <c r="TR39" s="23"/>
      <c r="TS39" s="23"/>
      <c r="TT39" s="23"/>
      <c r="TU39" s="23"/>
      <c r="TV39" s="23"/>
      <c r="TW39" s="23"/>
      <c r="TX39" s="23"/>
      <c r="TY39" s="23"/>
      <c r="TZ39" s="23"/>
      <c r="UA39" s="23"/>
      <c r="UB39" s="23"/>
      <c r="UC39" s="23"/>
      <c r="UD39" s="23"/>
      <c r="UE39" s="23"/>
      <c r="UF39" s="23"/>
      <c r="UG39" s="23"/>
      <c r="UH39" s="23"/>
      <c r="UI39" s="23"/>
      <c r="UJ39" s="23"/>
      <c r="UK39" s="23"/>
      <c r="UL39" s="23"/>
    </row>
    <row r="40" spans="1:558" s="17" customFormat="1" ht="12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  <c r="IX40" s="23"/>
      <c r="IY40" s="23"/>
      <c r="IZ40" s="23"/>
      <c r="JA40" s="23"/>
      <c r="JB40" s="23"/>
      <c r="JC40" s="23"/>
      <c r="JD40" s="23"/>
      <c r="JE40" s="23"/>
      <c r="JF40" s="23"/>
      <c r="JG40" s="23"/>
      <c r="JH40" s="23"/>
      <c r="JI40" s="23"/>
      <c r="JJ40" s="23"/>
      <c r="JK40" s="23"/>
      <c r="JL40" s="23"/>
      <c r="JM40" s="23"/>
      <c r="JN40" s="23"/>
      <c r="JO40" s="23"/>
      <c r="JP40" s="23"/>
      <c r="JQ40" s="23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3"/>
      <c r="NI40" s="23"/>
      <c r="NJ40" s="23"/>
      <c r="NK40" s="23"/>
      <c r="NL40" s="23"/>
      <c r="NM40" s="23"/>
      <c r="NN40" s="23"/>
      <c r="NO40" s="23"/>
      <c r="NP40" s="23"/>
      <c r="NQ40" s="23"/>
      <c r="NR40" s="23"/>
      <c r="NS40" s="23"/>
      <c r="NT40" s="23"/>
      <c r="NU40" s="23"/>
      <c r="NV40" s="23"/>
      <c r="NW40" s="23"/>
      <c r="NX40" s="23"/>
      <c r="NY40" s="23"/>
      <c r="NZ40" s="23"/>
      <c r="OA40" s="23"/>
      <c r="OB40" s="23"/>
      <c r="OC40" s="23"/>
      <c r="OD40" s="23"/>
      <c r="OE40" s="23"/>
      <c r="OF40" s="23"/>
      <c r="OG40" s="23"/>
      <c r="OH40" s="23"/>
      <c r="OI40" s="23"/>
      <c r="OJ40" s="23"/>
      <c r="OK40" s="23"/>
      <c r="OL40" s="23"/>
      <c r="OM40" s="23"/>
      <c r="ON40" s="23"/>
      <c r="OO40" s="23"/>
      <c r="OP40" s="23"/>
      <c r="OQ40" s="23"/>
      <c r="OR40" s="23"/>
      <c r="OS40" s="23"/>
      <c r="OT40" s="23"/>
      <c r="OU40" s="23"/>
      <c r="OV40" s="23"/>
      <c r="OW40" s="23"/>
      <c r="OX40" s="23"/>
      <c r="OY40" s="23"/>
      <c r="OZ40" s="23"/>
      <c r="PA40" s="23"/>
      <c r="PB40" s="23"/>
      <c r="PC40" s="23"/>
      <c r="PD40" s="23"/>
      <c r="PE40" s="23"/>
      <c r="PF40" s="23"/>
      <c r="PG40" s="23"/>
      <c r="PH40" s="23"/>
      <c r="PI40" s="23"/>
      <c r="PJ40" s="23"/>
      <c r="PK40" s="23"/>
      <c r="PL40" s="23"/>
      <c r="PM40" s="23"/>
      <c r="PN40" s="23"/>
      <c r="PO40" s="23"/>
      <c r="PP40" s="23"/>
      <c r="PQ40" s="23"/>
      <c r="PR40" s="23"/>
      <c r="PS40" s="23"/>
      <c r="PT40" s="23"/>
      <c r="PU40" s="23"/>
      <c r="PV40" s="23"/>
      <c r="PW40" s="23"/>
      <c r="PX40" s="23"/>
      <c r="PY40" s="23"/>
      <c r="PZ40" s="23"/>
      <c r="QA40" s="23"/>
      <c r="QB40" s="23"/>
      <c r="QC40" s="23"/>
      <c r="QD40" s="23"/>
      <c r="QE40" s="23"/>
      <c r="QF40" s="23"/>
      <c r="QG40" s="23"/>
      <c r="QH40" s="23"/>
      <c r="QI40" s="23"/>
      <c r="QJ40" s="23"/>
      <c r="QK40" s="23"/>
      <c r="QL40" s="23"/>
      <c r="QM40" s="23"/>
      <c r="QN40" s="23"/>
      <c r="QO40" s="23"/>
      <c r="QP40" s="23"/>
      <c r="QQ40" s="23"/>
      <c r="QR40" s="23"/>
      <c r="QS40" s="23"/>
      <c r="QT40" s="23"/>
      <c r="QU40" s="23"/>
      <c r="QV40" s="23"/>
      <c r="QW40" s="23"/>
      <c r="QX40" s="23"/>
      <c r="QY40" s="23"/>
      <c r="QZ40" s="23"/>
      <c r="RA40" s="23"/>
      <c r="RB40" s="23"/>
      <c r="RC40" s="23"/>
      <c r="RD40" s="23"/>
      <c r="RE40" s="23"/>
      <c r="RF40" s="23"/>
      <c r="RG40" s="23"/>
      <c r="RH40" s="23"/>
      <c r="RI40" s="23"/>
      <c r="RJ40" s="23"/>
      <c r="RK40" s="23"/>
      <c r="RL40" s="23"/>
      <c r="RM40" s="23"/>
      <c r="RN40" s="23"/>
      <c r="RO40" s="23"/>
      <c r="RP40" s="23"/>
      <c r="RQ40" s="23"/>
      <c r="RR40" s="23"/>
      <c r="RS40" s="23"/>
      <c r="RT40" s="23"/>
      <c r="RU40" s="23"/>
      <c r="RV40" s="23"/>
      <c r="RW40" s="23"/>
      <c r="RX40" s="23"/>
      <c r="RY40" s="23"/>
      <c r="RZ40" s="23"/>
      <c r="SA40" s="23"/>
      <c r="SB40" s="23"/>
      <c r="SC40" s="23"/>
      <c r="SD40" s="23"/>
      <c r="SE40" s="23"/>
      <c r="SF40" s="23"/>
      <c r="SG40" s="23"/>
      <c r="SH40" s="23"/>
      <c r="SI40" s="23"/>
      <c r="SJ40" s="23"/>
      <c r="SK40" s="23"/>
      <c r="SL40" s="23"/>
      <c r="SM40" s="23"/>
      <c r="SN40" s="23"/>
      <c r="SO40" s="23"/>
      <c r="SP40" s="23"/>
      <c r="SQ40" s="23"/>
      <c r="SR40" s="23"/>
      <c r="SS40" s="23"/>
      <c r="ST40" s="23"/>
      <c r="SU40" s="23"/>
      <c r="SV40" s="23"/>
      <c r="SW40" s="23"/>
      <c r="SX40" s="23"/>
      <c r="SY40" s="23"/>
      <c r="SZ40" s="23"/>
      <c r="TA40" s="23"/>
      <c r="TB40" s="23"/>
      <c r="TC40" s="23"/>
      <c r="TD40" s="23"/>
      <c r="TE40" s="23"/>
      <c r="TF40" s="23"/>
      <c r="TG40" s="23"/>
      <c r="TH40" s="23"/>
      <c r="TI40" s="23"/>
      <c r="TJ40" s="23"/>
      <c r="TK40" s="23"/>
      <c r="TL40" s="23"/>
      <c r="TM40" s="23"/>
      <c r="TN40" s="23"/>
      <c r="TO40" s="23"/>
      <c r="TP40" s="23"/>
      <c r="TQ40" s="23"/>
      <c r="TR40" s="23"/>
      <c r="TS40" s="23"/>
      <c r="TT40" s="23"/>
      <c r="TU40" s="23"/>
      <c r="TV40" s="23"/>
      <c r="TW40" s="23"/>
      <c r="TX40" s="23"/>
      <c r="TY40" s="23"/>
      <c r="TZ40" s="23"/>
      <c r="UA40" s="23"/>
      <c r="UB40" s="23"/>
      <c r="UC40" s="23"/>
      <c r="UD40" s="23"/>
      <c r="UE40" s="23"/>
      <c r="UF40" s="23"/>
      <c r="UG40" s="23"/>
      <c r="UH40" s="23"/>
      <c r="UI40" s="23"/>
      <c r="UJ40" s="23"/>
      <c r="UK40" s="23"/>
      <c r="UL40" s="23"/>
    </row>
    <row r="41" spans="1:558" s="17" customFormat="1" ht="12.7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  <c r="IX41" s="23"/>
      <c r="IY41" s="23"/>
      <c r="IZ41" s="23"/>
      <c r="JA41" s="23"/>
      <c r="JB41" s="23"/>
      <c r="JC41" s="23"/>
      <c r="JD41" s="23"/>
      <c r="JE41" s="23"/>
      <c r="JF41" s="23"/>
      <c r="JG41" s="23"/>
      <c r="JH41" s="23"/>
      <c r="JI41" s="23"/>
      <c r="JJ41" s="23"/>
      <c r="JK41" s="23"/>
      <c r="JL41" s="23"/>
      <c r="JM41" s="23"/>
      <c r="JN41" s="23"/>
      <c r="JO41" s="23"/>
      <c r="JP41" s="23"/>
      <c r="JQ41" s="23"/>
      <c r="JR41" s="23"/>
      <c r="JS41" s="23"/>
      <c r="JT41" s="23"/>
      <c r="JU41" s="23"/>
      <c r="JV41" s="23"/>
      <c r="JW41" s="23"/>
      <c r="JX41" s="23"/>
      <c r="JY41" s="23"/>
      <c r="JZ41" s="23"/>
      <c r="KA41" s="23"/>
      <c r="KB41" s="23"/>
      <c r="KC41" s="23"/>
      <c r="KD41" s="23"/>
      <c r="KE41" s="23"/>
      <c r="KF41" s="23"/>
      <c r="KG41" s="23"/>
      <c r="KH41" s="23"/>
      <c r="KI41" s="23"/>
      <c r="KJ41" s="23"/>
      <c r="KK41" s="23"/>
      <c r="KL41" s="23"/>
      <c r="KM41" s="23"/>
      <c r="KN41" s="23"/>
      <c r="KO41" s="23"/>
      <c r="KP41" s="23"/>
      <c r="KQ41" s="23"/>
      <c r="KR41" s="23"/>
      <c r="KS41" s="23"/>
      <c r="KT41" s="23"/>
      <c r="KU41" s="23"/>
      <c r="KV41" s="23"/>
      <c r="KW41" s="23"/>
      <c r="KX41" s="23"/>
      <c r="KY41" s="23"/>
      <c r="KZ41" s="23"/>
      <c r="LA41" s="23"/>
      <c r="LB41" s="23"/>
      <c r="LC41" s="23"/>
      <c r="LD41" s="23"/>
      <c r="LE41" s="23"/>
      <c r="LF41" s="23"/>
      <c r="LG41" s="23"/>
      <c r="LH41" s="23"/>
      <c r="LI41" s="23"/>
      <c r="LJ41" s="23"/>
      <c r="LK41" s="23"/>
      <c r="LL41" s="23"/>
      <c r="LM41" s="23"/>
      <c r="LN41" s="23"/>
      <c r="LO41" s="23"/>
      <c r="LP41" s="23"/>
      <c r="LQ41" s="23"/>
      <c r="LR41" s="23"/>
      <c r="LS41" s="23"/>
      <c r="LT41" s="23"/>
      <c r="LU41" s="23"/>
      <c r="LV41" s="23"/>
      <c r="LW41" s="23"/>
      <c r="LX41" s="23"/>
      <c r="LY41" s="23"/>
      <c r="LZ41" s="23"/>
      <c r="MA41" s="23"/>
      <c r="MB41" s="23"/>
      <c r="MC41" s="23"/>
      <c r="MD41" s="23"/>
      <c r="ME41" s="23"/>
      <c r="MF41" s="23"/>
      <c r="MG41" s="23"/>
      <c r="MH41" s="23"/>
      <c r="MI41" s="23"/>
      <c r="MJ41" s="23"/>
      <c r="MK41" s="23"/>
      <c r="ML41" s="23"/>
      <c r="MM41" s="23"/>
      <c r="MN41" s="23"/>
      <c r="MO41" s="23"/>
      <c r="MP41" s="23"/>
      <c r="MQ41" s="23"/>
      <c r="MR41" s="23"/>
      <c r="MS41" s="23"/>
      <c r="MT41" s="23"/>
      <c r="MU41" s="23"/>
      <c r="MV41" s="23"/>
      <c r="MW41" s="23"/>
      <c r="MX41" s="23"/>
      <c r="MY41" s="23"/>
      <c r="MZ41" s="23"/>
      <c r="NA41" s="23"/>
      <c r="NB41" s="23"/>
      <c r="NC41" s="23"/>
      <c r="ND41" s="23"/>
      <c r="NE41" s="23"/>
      <c r="NF41" s="23"/>
      <c r="NG41" s="23"/>
      <c r="NH41" s="23"/>
      <c r="NI41" s="23"/>
      <c r="NJ41" s="23"/>
      <c r="NK41" s="23"/>
      <c r="NL41" s="23"/>
      <c r="NM41" s="23"/>
      <c r="NN41" s="23"/>
      <c r="NO41" s="23"/>
      <c r="NP41" s="23"/>
      <c r="NQ41" s="23"/>
      <c r="NR41" s="23"/>
      <c r="NS41" s="23"/>
      <c r="NT41" s="23"/>
      <c r="NU41" s="23"/>
      <c r="NV41" s="23"/>
      <c r="NW41" s="23"/>
      <c r="NX41" s="23"/>
      <c r="NY41" s="23"/>
      <c r="NZ41" s="23"/>
      <c r="OA41" s="23"/>
      <c r="OB41" s="23"/>
      <c r="OC41" s="23"/>
      <c r="OD41" s="23"/>
      <c r="OE41" s="23"/>
      <c r="OF41" s="23"/>
      <c r="OG41" s="23"/>
      <c r="OH41" s="23"/>
      <c r="OI41" s="23"/>
      <c r="OJ41" s="23"/>
      <c r="OK41" s="23"/>
      <c r="OL41" s="23"/>
      <c r="OM41" s="23"/>
      <c r="ON41" s="23"/>
      <c r="OO41" s="23"/>
      <c r="OP41" s="23"/>
      <c r="OQ41" s="23"/>
      <c r="OR41" s="23"/>
      <c r="OS41" s="23"/>
      <c r="OT41" s="23"/>
      <c r="OU41" s="23"/>
      <c r="OV41" s="23"/>
      <c r="OW41" s="23"/>
      <c r="OX41" s="23"/>
      <c r="OY41" s="23"/>
      <c r="OZ41" s="23"/>
      <c r="PA41" s="23"/>
      <c r="PB41" s="23"/>
      <c r="PC41" s="23"/>
      <c r="PD41" s="23"/>
      <c r="PE41" s="23"/>
      <c r="PF41" s="23"/>
      <c r="PG41" s="23"/>
      <c r="PH41" s="23"/>
      <c r="PI41" s="23"/>
      <c r="PJ41" s="23"/>
      <c r="PK41" s="23"/>
      <c r="PL41" s="23"/>
      <c r="PM41" s="23"/>
      <c r="PN41" s="23"/>
      <c r="PO41" s="23"/>
      <c r="PP41" s="23"/>
      <c r="PQ41" s="23"/>
      <c r="PR41" s="23"/>
      <c r="PS41" s="23"/>
      <c r="PT41" s="23"/>
      <c r="PU41" s="23"/>
      <c r="PV41" s="23"/>
      <c r="PW41" s="23"/>
      <c r="PX41" s="23"/>
      <c r="PY41" s="23"/>
      <c r="PZ41" s="23"/>
      <c r="QA41" s="23"/>
      <c r="QB41" s="23"/>
      <c r="QC41" s="23"/>
      <c r="QD41" s="23"/>
      <c r="QE41" s="23"/>
      <c r="QF41" s="23"/>
      <c r="QG41" s="23"/>
      <c r="QH41" s="23"/>
      <c r="QI41" s="23"/>
      <c r="QJ41" s="23"/>
      <c r="QK41" s="23"/>
      <c r="QL41" s="23"/>
      <c r="QM41" s="23"/>
      <c r="QN41" s="23"/>
      <c r="QO41" s="23"/>
      <c r="QP41" s="23"/>
      <c r="QQ41" s="23"/>
      <c r="QR41" s="23"/>
      <c r="QS41" s="23"/>
      <c r="QT41" s="23"/>
      <c r="QU41" s="23"/>
      <c r="QV41" s="23"/>
      <c r="QW41" s="23"/>
      <c r="QX41" s="23"/>
      <c r="QY41" s="23"/>
      <c r="QZ41" s="23"/>
      <c r="RA41" s="23"/>
      <c r="RB41" s="23"/>
      <c r="RC41" s="23"/>
      <c r="RD41" s="23"/>
      <c r="RE41" s="23"/>
      <c r="RF41" s="23"/>
      <c r="RG41" s="23"/>
      <c r="RH41" s="23"/>
      <c r="RI41" s="23"/>
      <c r="RJ41" s="23"/>
      <c r="RK41" s="23"/>
      <c r="RL41" s="23"/>
      <c r="RM41" s="23"/>
      <c r="RN41" s="23"/>
      <c r="RO41" s="23"/>
      <c r="RP41" s="23"/>
      <c r="RQ41" s="23"/>
      <c r="RR41" s="23"/>
      <c r="RS41" s="23"/>
      <c r="RT41" s="23"/>
      <c r="RU41" s="23"/>
      <c r="RV41" s="23"/>
      <c r="RW41" s="23"/>
      <c r="RX41" s="23"/>
      <c r="RY41" s="23"/>
      <c r="RZ41" s="23"/>
      <c r="SA41" s="23"/>
      <c r="SB41" s="23"/>
      <c r="SC41" s="23"/>
      <c r="SD41" s="23"/>
      <c r="SE41" s="23"/>
      <c r="SF41" s="23"/>
      <c r="SG41" s="23"/>
      <c r="SH41" s="23"/>
      <c r="SI41" s="23"/>
      <c r="SJ41" s="23"/>
      <c r="SK41" s="23"/>
      <c r="SL41" s="23"/>
      <c r="SM41" s="23"/>
      <c r="SN41" s="23"/>
      <c r="SO41" s="23"/>
      <c r="SP41" s="23"/>
      <c r="SQ41" s="23"/>
      <c r="SR41" s="23"/>
      <c r="SS41" s="23"/>
      <c r="ST41" s="23"/>
      <c r="SU41" s="23"/>
      <c r="SV41" s="23"/>
      <c r="SW41" s="23"/>
      <c r="SX41" s="23"/>
      <c r="SY41" s="23"/>
      <c r="SZ41" s="23"/>
      <c r="TA41" s="23"/>
      <c r="TB41" s="23"/>
      <c r="TC41" s="23"/>
      <c r="TD41" s="23"/>
      <c r="TE41" s="23"/>
      <c r="TF41" s="23"/>
      <c r="TG41" s="23"/>
      <c r="TH41" s="23"/>
      <c r="TI41" s="23"/>
      <c r="TJ41" s="23"/>
      <c r="TK41" s="23"/>
      <c r="TL41" s="23"/>
      <c r="TM41" s="23"/>
      <c r="TN41" s="23"/>
      <c r="TO41" s="23"/>
      <c r="TP41" s="23"/>
      <c r="TQ41" s="23"/>
      <c r="TR41" s="23"/>
      <c r="TS41" s="23"/>
      <c r="TT41" s="23"/>
      <c r="TU41" s="23"/>
      <c r="TV41" s="23"/>
      <c r="TW41" s="23"/>
      <c r="TX41" s="23"/>
      <c r="TY41" s="23"/>
      <c r="TZ41" s="23"/>
      <c r="UA41" s="23"/>
      <c r="UB41" s="23"/>
      <c r="UC41" s="23"/>
      <c r="UD41" s="23"/>
      <c r="UE41" s="23"/>
      <c r="UF41" s="23"/>
      <c r="UG41" s="23"/>
      <c r="UH41" s="23"/>
      <c r="UI41" s="23"/>
      <c r="UJ41" s="23"/>
      <c r="UK41" s="23"/>
      <c r="UL41" s="23"/>
    </row>
    <row r="42" spans="1:558" s="17" customFormat="1" ht="12.7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  <c r="IX42" s="23"/>
      <c r="IY42" s="23"/>
      <c r="IZ42" s="23"/>
      <c r="JA42" s="23"/>
      <c r="JB42" s="23"/>
      <c r="JC42" s="23"/>
      <c r="JD42" s="23"/>
      <c r="JE42" s="23"/>
      <c r="JF42" s="23"/>
      <c r="JG42" s="23"/>
      <c r="JH42" s="23"/>
      <c r="JI42" s="23"/>
      <c r="JJ42" s="23"/>
      <c r="JK42" s="23"/>
      <c r="JL42" s="23"/>
      <c r="JM42" s="23"/>
      <c r="JN42" s="23"/>
      <c r="JO42" s="23"/>
      <c r="JP42" s="23"/>
      <c r="JQ42" s="23"/>
      <c r="JR42" s="23"/>
      <c r="JS42" s="23"/>
      <c r="JT42" s="23"/>
      <c r="JU42" s="23"/>
      <c r="JV42" s="23"/>
      <c r="JW42" s="23"/>
      <c r="JX42" s="23"/>
      <c r="JY42" s="23"/>
      <c r="JZ42" s="23"/>
      <c r="KA42" s="23"/>
      <c r="KB42" s="23"/>
      <c r="KC42" s="23"/>
      <c r="KD42" s="23"/>
      <c r="KE42" s="23"/>
      <c r="KF42" s="23"/>
      <c r="KG42" s="23"/>
      <c r="KH42" s="23"/>
      <c r="KI42" s="23"/>
      <c r="KJ42" s="23"/>
      <c r="KK42" s="23"/>
      <c r="KL42" s="23"/>
      <c r="KM42" s="23"/>
      <c r="KN42" s="23"/>
      <c r="KO42" s="23"/>
      <c r="KP42" s="23"/>
      <c r="KQ42" s="23"/>
      <c r="KR42" s="23"/>
      <c r="KS42" s="23"/>
      <c r="KT42" s="23"/>
      <c r="KU42" s="23"/>
      <c r="KV42" s="23"/>
      <c r="KW42" s="23"/>
      <c r="KX42" s="23"/>
      <c r="KY42" s="23"/>
      <c r="KZ42" s="23"/>
      <c r="LA42" s="23"/>
      <c r="LB42" s="23"/>
      <c r="LC42" s="23"/>
      <c r="LD42" s="23"/>
      <c r="LE42" s="23"/>
      <c r="LF42" s="23"/>
      <c r="LG42" s="23"/>
      <c r="LH42" s="23"/>
      <c r="LI42" s="23"/>
      <c r="LJ42" s="23"/>
      <c r="LK42" s="23"/>
      <c r="LL42" s="23"/>
      <c r="LM42" s="23"/>
      <c r="LN42" s="23"/>
      <c r="LO42" s="23"/>
      <c r="LP42" s="23"/>
      <c r="LQ42" s="23"/>
      <c r="LR42" s="23"/>
      <c r="LS42" s="23"/>
      <c r="LT42" s="23"/>
      <c r="LU42" s="23"/>
      <c r="LV42" s="23"/>
      <c r="LW42" s="23"/>
      <c r="LX42" s="23"/>
      <c r="LY42" s="23"/>
      <c r="LZ42" s="23"/>
      <c r="MA42" s="23"/>
      <c r="MB42" s="23"/>
      <c r="MC42" s="23"/>
      <c r="MD42" s="23"/>
      <c r="ME42" s="23"/>
      <c r="MF42" s="23"/>
      <c r="MG42" s="23"/>
      <c r="MH42" s="23"/>
      <c r="MI42" s="23"/>
      <c r="MJ42" s="23"/>
      <c r="MK42" s="23"/>
      <c r="ML42" s="23"/>
      <c r="MM42" s="23"/>
      <c r="MN42" s="23"/>
      <c r="MO42" s="23"/>
      <c r="MP42" s="23"/>
      <c r="MQ42" s="23"/>
      <c r="MR42" s="23"/>
      <c r="MS42" s="23"/>
      <c r="MT42" s="23"/>
      <c r="MU42" s="23"/>
      <c r="MV42" s="23"/>
      <c r="MW42" s="23"/>
      <c r="MX42" s="23"/>
      <c r="MY42" s="23"/>
      <c r="MZ42" s="23"/>
      <c r="NA42" s="23"/>
      <c r="NB42" s="23"/>
      <c r="NC42" s="23"/>
      <c r="ND42" s="23"/>
      <c r="NE42" s="23"/>
      <c r="NF42" s="23"/>
      <c r="NG42" s="23"/>
      <c r="NH42" s="23"/>
      <c r="NI42" s="23"/>
      <c r="NJ42" s="23"/>
      <c r="NK42" s="23"/>
      <c r="NL42" s="23"/>
      <c r="NM42" s="23"/>
      <c r="NN42" s="23"/>
      <c r="NO42" s="23"/>
      <c r="NP42" s="23"/>
      <c r="NQ42" s="23"/>
      <c r="NR42" s="23"/>
      <c r="NS42" s="23"/>
      <c r="NT42" s="23"/>
      <c r="NU42" s="23"/>
      <c r="NV42" s="23"/>
      <c r="NW42" s="23"/>
      <c r="NX42" s="23"/>
      <c r="NY42" s="23"/>
      <c r="NZ42" s="23"/>
      <c r="OA42" s="23"/>
      <c r="OB42" s="23"/>
      <c r="OC42" s="23"/>
      <c r="OD42" s="23"/>
      <c r="OE42" s="23"/>
      <c r="OF42" s="23"/>
      <c r="OG42" s="23"/>
      <c r="OH42" s="23"/>
      <c r="OI42" s="23"/>
      <c r="OJ42" s="23"/>
      <c r="OK42" s="23"/>
      <c r="OL42" s="23"/>
      <c r="OM42" s="23"/>
      <c r="ON42" s="23"/>
      <c r="OO42" s="23"/>
      <c r="OP42" s="23"/>
      <c r="OQ42" s="23"/>
      <c r="OR42" s="23"/>
      <c r="OS42" s="23"/>
      <c r="OT42" s="23"/>
      <c r="OU42" s="23"/>
      <c r="OV42" s="23"/>
      <c r="OW42" s="23"/>
      <c r="OX42" s="23"/>
      <c r="OY42" s="23"/>
      <c r="OZ42" s="23"/>
      <c r="PA42" s="23"/>
      <c r="PB42" s="23"/>
      <c r="PC42" s="23"/>
      <c r="PD42" s="23"/>
      <c r="PE42" s="23"/>
      <c r="PF42" s="23"/>
      <c r="PG42" s="23"/>
      <c r="PH42" s="23"/>
      <c r="PI42" s="23"/>
      <c r="PJ42" s="23"/>
      <c r="PK42" s="23"/>
      <c r="PL42" s="23"/>
      <c r="PM42" s="23"/>
      <c r="PN42" s="23"/>
      <c r="PO42" s="23"/>
      <c r="PP42" s="23"/>
      <c r="PQ42" s="23"/>
      <c r="PR42" s="23"/>
      <c r="PS42" s="23"/>
      <c r="PT42" s="23"/>
      <c r="PU42" s="23"/>
      <c r="PV42" s="23"/>
      <c r="PW42" s="23"/>
      <c r="PX42" s="23"/>
      <c r="PY42" s="23"/>
      <c r="PZ42" s="23"/>
      <c r="QA42" s="23"/>
      <c r="QB42" s="23"/>
      <c r="QC42" s="23"/>
      <c r="QD42" s="23"/>
      <c r="QE42" s="23"/>
      <c r="QF42" s="23"/>
      <c r="QG42" s="23"/>
      <c r="QH42" s="23"/>
      <c r="QI42" s="23"/>
      <c r="QJ42" s="23"/>
      <c r="QK42" s="23"/>
      <c r="QL42" s="23"/>
      <c r="QM42" s="23"/>
      <c r="QN42" s="23"/>
      <c r="QO42" s="23"/>
      <c r="QP42" s="23"/>
      <c r="QQ42" s="23"/>
      <c r="QR42" s="23"/>
      <c r="QS42" s="23"/>
      <c r="QT42" s="23"/>
      <c r="QU42" s="23"/>
      <c r="QV42" s="23"/>
      <c r="QW42" s="23"/>
      <c r="QX42" s="23"/>
      <c r="QY42" s="23"/>
      <c r="QZ42" s="23"/>
      <c r="RA42" s="23"/>
      <c r="RB42" s="23"/>
      <c r="RC42" s="23"/>
      <c r="RD42" s="23"/>
      <c r="RE42" s="23"/>
      <c r="RF42" s="23"/>
      <c r="RG42" s="23"/>
      <c r="RH42" s="23"/>
      <c r="RI42" s="23"/>
      <c r="RJ42" s="23"/>
      <c r="RK42" s="23"/>
      <c r="RL42" s="23"/>
      <c r="RM42" s="23"/>
      <c r="RN42" s="23"/>
      <c r="RO42" s="23"/>
      <c r="RP42" s="23"/>
      <c r="RQ42" s="23"/>
      <c r="RR42" s="23"/>
      <c r="RS42" s="23"/>
      <c r="RT42" s="23"/>
      <c r="RU42" s="23"/>
      <c r="RV42" s="23"/>
      <c r="RW42" s="23"/>
      <c r="RX42" s="23"/>
      <c r="RY42" s="23"/>
      <c r="RZ42" s="23"/>
      <c r="SA42" s="23"/>
      <c r="SB42" s="23"/>
      <c r="SC42" s="23"/>
      <c r="SD42" s="23"/>
      <c r="SE42" s="23"/>
      <c r="SF42" s="23"/>
      <c r="SG42" s="23"/>
      <c r="SH42" s="23"/>
      <c r="SI42" s="23"/>
      <c r="SJ42" s="23"/>
      <c r="SK42" s="23"/>
      <c r="SL42" s="23"/>
      <c r="SM42" s="23"/>
      <c r="SN42" s="23"/>
      <c r="SO42" s="23"/>
      <c r="SP42" s="23"/>
      <c r="SQ42" s="23"/>
      <c r="SR42" s="23"/>
      <c r="SS42" s="23"/>
      <c r="ST42" s="23"/>
      <c r="SU42" s="23"/>
      <c r="SV42" s="23"/>
      <c r="SW42" s="23"/>
      <c r="SX42" s="23"/>
      <c r="SY42" s="23"/>
      <c r="SZ42" s="23"/>
      <c r="TA42" s="23"/>
      <c r="TB42" s="23"/>
      <c r="TC42" s="23"/>
      <c r="TD42" s="23"/>
      <c r="TE42" s="23"/>
      <c r="TF42" s="23"/>
      <c r="TG42" s="23"/>
      <c r="TH42" s="23"/>
      <c r="TI42" s="23"/>
      <c r="TJ42" s="23"/>
      <c r="TK42" s="23"/>
      <c r="TL42" s="23"/>
      <c r="TM42" s="23"/>
      <c r="TN42" s="23"/>
      <c r="TO42" s="23"/>
      <c r="TP42" s="23"/>
      <c r="TQ42" s="23"/>
      <c r="TR42" s="23"/>
      <c r="TS42" s="23"/>
      <c r="TT42" s="23"/>
      <c r="TU42" s="23"/>
      <c r="TV42" s="23"/>
      <c r="TW42" s="23"/>
      <c r="TX42" s="23"/>
      <c r="TY42" s="23"/>
      <c r="TZ42" s="23"/>
      <c r="UA42" s="23"/>
      <c r="UB42" s="23"/>
      <c r="UC42" s="23"/>
      <c r="UD42" s="23"/>
      <c r="UE42" s="23"/>
      <c r="UF42" s="23"/>
      <c r="UG42" s="23"/>
      <c r="UH42" s="23"/>
      <c r="UI42" s="23"/>
      <c r="UJ42" s="23"/>
      <c r="UK42" s="23"/>
      <c r="UL42" s="23"/>
    </row>
    <row r="43" spans="1:558" s="17" customFormat="1" ht="12.7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  <c r="IX43" s="23"/>
      <c r="IY43" s="23"/>
      <c r="IZ43" s="23"/>
      <c r="JA43" s="23"/>
      <c r="JB43" s="23"/>
      <c r="JC43" s="23"/>
      <c r="JD43" s="23"/>
      <c r="JE43" s="23"/>
      <c r="JF43" s="23"/>
      <c r="JG43" s="23"/>
      <c r="JH43" s="23"/>
      <c r="JI43" s="23"/>
      <c r="JJ43" s="23"/>
      <c r="JK43" s="23"/>
      <c r="JL43" s="23"/>
      <c r="JM43" s="23"/>
      <c r="JN43" s="23"/>
      <c r="JO43" s="23"/>
      <c r="JP43" s="23"/>
      <c r="JQ43" s="23"/>
      <c r="JR43" s="23"/>
      <c r="JS43" s="23"/>
      <c r="JT43" s="23"/>
      <c r="JU43" s="23"/>
      <c r="JV43" s="23"/>
      <c r="JW43" s="23"/>
      <c r="JX43" s="23"/>
      <c r="JY43" s="23"/>
      <c r="JZ43" s="23"/>
      <c r="KA43" s="23"/>
      <c r="KB43" s="23"/>
      <c r="KC43" s="23"/>
      <c r="KD43" s="23"/>
      <c r="KE43" s="23"/>
      <c r="KF43" s="23"/>
      <c r="KG43" s="23"/>
      <c r="KH43" s="23"/>
      <c r="KI43" s="23"/>
      <c r="KJ43" s="23"/>
      <c r="KK43" s="23"/>
      <c r="KL43" s="23"/>
      <c r="KM43" s="23"/>
      <c r="KN43" s="23"/>
      <c r="KO43" s="23"/>
      <c r="KP43" s="23"/>
      <c r="KQ43" s="23"/>
      <c r="KR43" s="23"/>
      <c r="KS43" s="23"/>
      <c r="KT43" s="23"/>
      <c r="KU43" s="23"/>
      <c r="KV43" s="23"/>
      <c r="KW43" s="23"/>
      <c r="KX43" s="23"/>
      <c r="KY43" s="23"/>
      <c r="KZ43" s="23"/>
      <c r="LA43" s="23"/>
      <c r="LB43" s="23"/>
      <c r="LC43" s="23"/>
      <c r="LD43" s="23"/>
      <c r="LE43" s="23"/>
      <c r="LF43" s="23"/>
      <c r="LG43" s="23"/>
      <c r="LH43" s="23"/>
      <c r="LI43" s="23"/>
      <c r="LJ43" s="23"/>
      <c r="LK43" s="23"/>
      <c r="LL43" s="23"/>
      <c r="LM43" s="23"/>
      <c r="LN43" s="23"/>
      <c r="LO43" s="23"/>
      <c r="LP43" s="23"/>
      <c r="LQ43" s="23"/>
      <c r="LR43" s="23"/>
      <c r="LS43" s="23"/>
      <c r="LT43" s="23"/>
      <c r="LU43" s="23"/>
      <c r="LV43" s="23"/>
      <c r="LW43" s="23"/>
      <c r="LX43" s="23"/>
      <c r="LY43" s="23"/>
      <c r="LZ43" s="23"/>
      <c r="MA43" s="23"/>
      <c r="MB43" s="23"/>
      <c r="MC43" s="23"/>
      <c r="MD43" s="23"/>
      <c r="ME43" s="23"/>
      <c r="MF43" s="23"/>
      <c r="MG43" s="23"/>
      <c r="MH43" s="23"/>
      <c r="MI43" s="23"/>
      <c r="MJ43" s="23"/>
      <c r="MK43" s="23"/>
      <c r="ML43" s="23"/>
      <c r="MM43" s="23"/>
      <c r="MN43" s="23"/>
      <c r="MO43" s="23"/>
      <c r="MP43" s="23"/>
      <c r="MQ43" s="23"/>
      <c r="MR43" s="23"/>
      <c r="MS43" s="23"/>
      <c r="MT43" s="23"/>
      <c r="MU43" s="23"/>
      <c r="MV43" s="23"/>
      <c r="MW43" s="23"/>
      <c r="MX43" s="23"/>
      <c r="MY43" s="23"/>
      <c r="MZ43" s="23"/>
      <c r="NA43" s="23"/>
      <c r="NB43" s="23"/>
      <c r="NC43" s="23"/>
      <c r="ND43" s="23"/>
      <c r="NE43" s="23"/>
      <c r="NF43" s="23"/>
      <c r="NG43" s="23"/>
      <c r="NH43" s="23"/>
      <c r="NI43" s="23"/>
      <c r="NJ43" s="23"/>
      <c r="NK43" s="23"/>
      <c r="NL43" s="23"/>
      <c r="NM43" s="23"/>
      <c r="NN43" s="23"/>
      <c r="NO43" s="23"/>
      <c r="NP43" s="23"/>
      <c r="NQ43" s="23"/>
      <c r="NR43" s="23"/>
      <c r="NS43" s="23"/>
      <c r="NT43" s="23"/>
      <c r="NU43" s="23"/>
      <c r="NV43" s="23"/>
      <c r="NW43" s="23"/>
      <c r="NX43" s="23"/>
      <c r="NY43" s="23"/>
      <c r="NZ43" s="23"/>
      <c r="OA43" s="23"/>
      <c r="OB43" s="23"/>
      <c r="OC43" s="23"/>
      <c r="OD43" s="23"/>
      <c r="OE43" s="23"/>
      <c r="OF43" s="23"/>
      <c r="OG43" s="23"/>
      <c r="OH43" s="23"/>
      <c r="OI43" s="23"/>
      <c r="OJ43" s="23"/>
      <c r="OK43" s="23"/>
      <c r="OL43" s="23"/>
      <c r="OM43" s="23"/>
      <c r="ON43" s="23"/>
      <c r="OO43" s="23"/>
      <c r="OP43" s="23"/>
      <c r="OQ43" s="23"/>
      <c r="OR43" s="23"/>
      <c r="OS43" s="23"/>
      <c r="OT43" s="23"/>
      <c r="OU43" s="23"/>
      <c r="OV43" s="23"/>
      <c r="OW43" s="23"/>
      <c r="OX43" s="23"/>
      <c r="OY43" s="23"/>
      <c r="OZ43" s="23"/>
      <c r="PA43" s="23"/>
      <c r="PB43" s="23"/>
      <c r="PC43" s="23"/>
      <c r="PD43" s="23"/>
      <c r="PE43" s="23"/>
      <c r="PF43" s="23"/>
      <c r="PG43" s="23"/>
      <c r="PH43" s="23"/>
      <c r="PI43" s="23"/>
      <c r="PJ43" s="23"/>
      <c r="PK43" s="23"/>
      <c r="PL43" s="23"/>
      <c r="PM43" s="23"/>
      <c r="PN43" s="23"/>
      <c r="PO43" s="23"/>
      <c r="PP43" s="23"/>
      <c r="PQ43" s="23"/>
      <c r="PR43" s="23"/>
      <c r="PS43" s="23"/>
      <c r="PT43" s="23"/>
      <c r="PU43" s="23"/>
      <c r="PV43" s="23"/>
      <c r="PW43" s="23"/>
      <c r="PX43" s="23"/>
      <c r="PY43" s="23"/>
      <c r="PZ43" s="23"/>
      <c r="QA43" s="23"/>
      <c r="QB43" s="23"/>
      <c r="QC43" s="23"/>
      <c r="QD43" s="23"/>
      <c r="QE43" s="23"/>
      <c r="QF43" s="23"/>
      <c r="QG43" s="23"/>
      <c r="QH43" s="23"/>
      <c r="QI43" s="23"/>
      <c r="QJ43" s="23"/>
      <c r="QK43" s="23"/>
      <c r="QL43" s="23"/>
      <c r="QM43" s="23"/>
      <c r="QN43" s="23"/>
      <c r="QO43" s="23"/>
      <c r="QP43" s="23"/>
      <c r="QQ43" s="23"/>
      <c r="QR43" s="23"/>
      <c r="QS43" s="23"/>
      <c r="QT43" s="23"/>
      <c r="QU43" s="23"/>
      <c r="QV43" s="23"/>
      <c r="QW43" s="23"/>
      <c r="QX43" s="23"/>
      <c r="QY43" s="23"/>
      <c r="QZ43" s="23"/>
      <c r="RA43" s="23"/>
      <c r="RB43" s="23"/>
      <c r="RC43" s="23"/>
      <c r="RD43" s="23"/>
      <c r="RE43" s="23"/>
      <c r="RF43" s="23"/>
      <c r="RG43" s="23"/>
      <c r="RH43" s="23"/>
      <c r="RI43" s="23"/>
      <c r="RJ43" s="23"/>
      <c r="RK43" s="23"/>
      <c r="RL43" s="23"/>
      <c r="RM43" s="23"/>
      <c r="RN43" s="23"/>
      <c r="RO43" s="23"/>
      <c r="RP43" s="23"/>
      <c r="RQ43" s="23"/>
      <c r="RR43" s="23"/>
      <c r="RS43" s="23"/>
      <c r="RT43" s="23"/>
      <c r="RU43" s="23"/>
      <c r="RV43" s="23"/>
      <c r="RW43" s="23"/>
      <c r="RX43" s="23"/>
      <c r="RY43" s="23"/>
      <c r="RZ43" s="23"/>
      <c r="SA43" s="23"/>
      <c r="SB43" s="23"/>
      <c r="SC43" s="23"/>
      <c r="SD43" s="23"/>
      <c r="SE43" s="23"/>
      <c r="SF43" s="23"/>
      <c r="SG43" s="23"/>
      <c r="SH43" s="23"/>
      <c r="SI43" s="23"/>
      <c r="SJ43" s="23"/>
      <c r="SK43" s="23"/>
      <c r="SL43" s="23"/>
      <c r="SM43" s="23"/>
      <c r="SN43" s="23"/>
      <c r="SO43" s="23"/>
      <c r="SP43" s="23"/>
      <c r="SQ43" s="23"/>
      <c r="SR43" s="23"/>
      <c r="SS43" s="23"/>
      <c r="ST43" s="23"/>
      <c r="SU43" s="23"/>
      <c r="SV43" s="23"/>
      <c r="SW43" s="23"/>
      <c r="SX43" s="23"/>
      <c r="SY43" s="23"/>
      <c r="SZ43" s="23"/>
      <c r="TA43" s="23"/>
      <c r="TB43" s="23"/>
      <c r="TC43" s="23"/>
      <c r="TD43" s="23"/>
      <c r="TE43" s="23"/>
      <c r="TF43" s="23"/>
      <c r="TG43" s="23"/>
      <c r="TH43" s="23"/>
      <c r="TI43" s="23"/>
      <c r="TJ43" s="23"/>
      <c r="TK43" s="23"/>
      <c r="TL43" s="23"/>
      <c r="TM43" s="23"/>
      <c r="TN43" s="23"/>
      <c r="TO43" s="23"/>
      <c r="TP43" s="23"/>
      <c r="TQ43" s="23"/>
      <c r="TR43" s="23"/>
      <c r="TS43" s="23"/>
      <c r="TT43" s="23"/>
      <c r="TU43" s="23"/>
      <c r="TV43" s="23"/>
      <c r="TW43" s="23"/>
      <c r="TX43" s="23"/>
      <c r="TY43" s="23"/>
      <c r="TZ43" s="23"/>
      <c r="UA43" s="23"/>
      <c r="UB43" s="23"/>
      <c r="UC43" s="23"/>
      <c r="UD43" s="23"/>
      <c r="UE43" s="23"/>
      <c r="UF43" s="23"/>
      <c r="UG43" s="23"/>
      <c r="UH43" s="23"/>
      <c r="UI43" s="23"/>
      <c r="UJ43" s="23"/>
      <c r="UK43" s="23"/>
      <c r="UL43" s="23"/>
    </row>
    <row r="44" spans="1:558" s="17" customFormat="1" ht="12.7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  <c r="IX44" s="23"/>
      <c r="IY44" s="23"/>
      <c r="IZ44" s="23"/>
      <c r="JA44" s="23"/>
      <c r="JB44" s="23"/>
      <c r="JC44" s="23"/>
      <c r="JD44" s="23"/>
      <c r="JE44" s="23"/>
      <c r="JF44" s="23"/>
      <c r="JG44" s="23"/>
      <c r="JH44" s="23"/>
      <c r="JI44" s="23"/>
      <c r="JJ44" s="23"/>
      <c r="JK44" s="23"/>
      <c r="JL44" s="23"/>
      <c r="JM44" s="23"/>
      <c r="JN44" s="23"/>
      <c r="JO44" s="23"/>
      <c r="JP44" s="23"/>
      <c r="JQ44" s="23"/>
      <c r="JR44" s="23"/>
      <c r="JS44" s="23"/>
      <c r="JT44" s="23"/>
      <c r="JU44" s="23"/>
      <c r="JV44" s="23"/>
      <c r="JW44" s="23"/>
      <c r="JX44" s="23"/>
      <c r="JY44" s="23"/>
      <c r="JZ44" s="23"/>
      <c r="KA44" s="23"/>
      <c r="KB44" s="23"/>
      <c r="KC44" s="23"/>
      <c r="KD44" s="23"/>
      <c r="KE44" s="23"/>
      <c r="KF44" s="23"/>
      <c r="KG44" s="23"/>
      <c r="KH44" s="23"/>
      <c r="KI44" s="23"/>
      <c r="KJ44" s="23"/>
      <c r="KK44" s="23"/>
      <c r="KL44" s="23"/>
      <c r="KM44" s="23"/>
      <c r="KN44" s="23"/>
      <c r="KO44" s="23"/>
      <c r="KP44" s="23"/>
      <c r="KQ44" s="23"/>
      <c r="KR44" s="23"/>
      <c r="KS44" s="23"/>
      <c r="KT44" s="23"/>
      <c r="KU44" s="23"/>
      <c r="KV44" s="23"/>
      <c r="KW44" s="23"/>
      <c r="KX44" s="23"/>
      <c r="KY44" s="23"/>
      <c r="KZ44" s="23"/>
      <c r="LA44" s="23"/>
      <c r="LB44" s="23"/>
      <c r="LC44" s="23"/>
      <c r="LD44" s="23"/>
      <c r="LE44" s="23"/>
      <c r="LF44" s="23"/>
      <c r="LG44" s="23"/>
      <c r="LH44" s="23"/>
      <c r="LI44" s="23"/>
      <c r="LJ44" s="23"/>
      <c r="LK44" s="23"/>
      <c r="LL44" s="23"/>
      <c r="LM44" s="23"/>
      <c r="LN44" s="23"/>
      <c r="LO44" s="23"/>
      <c r="LP44" s="23"/>
      <c r="LQ44" s="23"/>
      <c r="LR44" s="23"/>
      <c r="LS44" s="23"/>
      <c r="LT44" s="23"/>
      <c r="LU44" s="23"/>
      <c r="LV44" s="23"/>
      <c r="LW44" s="23"/>
      <c r="LX44" s="23"/>
      <c r="LY44" s="23"/>
      <c r="LZ44" s="23"/>
      <c r="MA44" s="23"/>
      <c r="MB44" s="23"/>
      <c r="MC44" s="23"/>
      <c r="MD44" s="23"/>
      <c r="ME44" s="23"/>
      <c r="MF44" s="23"/>
      <c r="MG44" s="23"/>
      <c r="MH44" s="23"/>
      <c r="MI44" s="23"/>
      <c r="MJ44" s="23"/>
      <c r="MK44" s="23"/>
      <c r="ML44" s="23"/>
      <c r="MM44" s="23"/>
      <c r="MN44" s="23"/>
      <c r="MO44" s="23"/>
      <c r="MP44" s="23"/>
      <c r="MQ44" s="23"/>
      <c r="MR44" s="23"/>
      <c r="MS44" s="23"/>
      <c r="MT44" s="23"/>
      <c r="MU44" s="23"/>
      <c r="MV44" s="23"/>
      <c r="MW44" s="23"/>
      <c r="MX44" s="23"/>
      <c r="MY44" s="23"/>
      <c r="MZ44" s="23"/>
      <c r="NA44" s="23"/>
      <c r="NB44" s="23"/>
      <c r="NC44" s="23"/>
      <c r="ND44" s="23"/>
      <c r="NE44" s="23"/>
      <c r="NF44" s="23"/>
      <c r="NG44" s="23"/>
      <c r="NH44" s="23"/>
      <c r="NI44" s="23"/>
      <c r="NJ44" s="23"/>
      <c r="NK44" s="23"/>
      <c r="NL44" s="23"/>
      <c r="NM44" s="23"/>
      <c r="NN44" s="23"/>
      <c r="NO44" s="23"/>
      <c r="NP44" s="23"/>
      <c r="NQ44" s="23"/>
      <c r="NR44" s="23"/>
      <c r="NS44" s="23"/>
      <c r="NT44" s="23"/>
      <c r="NU44" s="23"/>
      <c r="NV44" s="23"/>
      <c r="NW44" s="23"/>
      <c r="NX44" s="23"/>
      <c r="NY44" s="23"/>
      <c r="NZ44" s="23"/>
      <c r="OA44" s="23"/>
      <c r="OB44" s="23"/>
      <c r="OC44" s="23"/>
      <c r="OD44" s="23"/>
      <c r="OE44" s="23"/>
      <c r="OF44" s="23"/>
      <c r="OG44" s="23"/>
      <c r="OH44" s="23"/>
      <c r="OI44" s="23"/>
      <c r="OJ44" s="23"/>
      <c r="OK44" s="23"/>
      <c r="OL44" s="23"/>
      <c r="OM44" s="23"/>
      <c r="ON44" s="23"/>
      <c r="OO44" s="23"/>
      <c r="OP44" s="23"/>
      <c r="OQ44" s="23"/>
      <c r="OR44" s="23"/>
      <c r="OS44" s="23"/>
      <c r="OT44" s="23"/>
      <c r="OU44" s="23"/>
      <c r="OV44" s="23"/>
      <c r="OW44" s="23"/>
      <c r="OX44" s="23"/>
      <c r="OY44" s="23"/>
      <c r="OZ44" s="23"/>
      <c r="PA44" s="23"/>
      <c r="PB44" s="23"/>
      <c r="PC44" s="23"/>
      <c r="PD44" s="23"/>
      <c r="PE44" s="23"/>
      <c r="PF44" s="23"/>
      <c r="PG44" s="23"/>
      <c r="PH44" s="23"/>
      <c r="PI44" s="23"/>
      <c r="PJ44" s="23"/>
      <c r="PK44" s="23"/>
      <c r="PL44" s="23"/>
      <c r="PM44" s="23"/>
      <c r="PN44" s="23"/>
      <c r="PO44" s="23"/>
      <c r="PP44" s="23"/>
      <c r="PQ44" s="23"/>
      <c r="PR44" s="23"/>
      <c r="PS44" s="23"/>
      <c r="PT44" s="23"/>
      <c r="PU44" s="23"/>
      <c r="PV44" s="23"/>
      <c r="PW44" s="23"/>
      <c r="PX44" s="23"/>
      <c r="PY44" s="23"/>
      <c r="PZ44" s="23"/>
      <c r="QA44" s="23"/>
      <c r="QB44" s="23"/>
      <c r="QC44" s="23"/>
      <c r="QD44" s="23"/>
      <c r="QE44" s="23"/>
      <c r="QF44" s="23"/>
      <c r="QG44" s="23"/>
      <c r="QH44" s="23"/>
      <c r="QI44" s="23"/>
      <c r="QJ44" s="23"/>
      <c r="QK44" s="23"/>
      <c r="QL44" s="23"/>
      <c r="QM44" s="23"/>
      <c r="QN44" s="23"/>
      <c r="QO44" s="23"/>
      <c r="QP44" s="23"/>
      <c r="QQ44" s="23"/>
      <c r="QR44" s="23"/>
      <c r="QS44" s="23"/>
      <c r="QT44" s="23"/>
      <c r="QU44" s="23"/>
      <c r="QV44" s="23"/>
      <c r="QW44" s="23"/>
      <c r="QX44" s="23"/>
      <c r="QY44" s="23"/>
      <c r="QZ44" s="23"/>
      <c r="RA44" s="23"/>
      <c r="RB44" s="23"/>
      <c r="RC44" s="23"/>
      <c r="RD44" s="23"/>
      <c r="RE44" s="23"/>
      <c r="RF44" s="23"/>
      <c r="RG44" s="23"/>
      <c r="RH44" s="23"/>
      <c r="RI44" s="23"/>
      <c r="RJ44" s="23"/>
      <c r="RK44" s="23"/>
      <c r="RL44" s="23"/>
      <c r="RM44" s="23"/>
      <c r="RN44" s="23"/>
      <c r="RO44" s="23"/>
      <c r="RP44" s="23"/>
      <c r="RQ44" s="23"/>
      <c r="RR44" s="23"/>
      <c r="RS44" s="23"/>
      <c r="RT44" s="23"/>
      <c r="RU44" s="23"/>
      <c r="RV44" s="23"/>
      <c r="RW44" s="23"/>
      <c r="RX44" s="23"/>
      <c r="RY44" s="23"/>
      <c r="RZ44" s="23"/>
      <c r="SA44" s="23"/>
      <c r="SB44" s="23"/>
      <c r="SC44" s="23"/>
      <c r="SD44" s="23"/>
      <c r="SE44" s="23"/>
      <c r="SF44" s="23"/>
      <c r="SG44" s="23"/>
      <c r="SH44" s="23"/>
      <c r="SI44" s="23"/>
      <c r="SJ44" s="23"/>
      <c r="SK44" s="23"/>
      <c r="SL44" s="23"/>
      <c r="SM44" s="23"/>
      <c r="SN44" s="23"/>
      <c r="SO44" s="23"/>
      <c r="SP44" s="23"/>
      <c r="SQ44" s="23"/>
      <c r="SR44" s="23"/>
      <c r="SS44" s="23"/>
      <c r="ST44" s="23"/>
      <c r="SU44" s="23"/>
      <c r="SV44" s="23"/>
      <c r="SW44" s="23"/>
      <c r="SX44" s="23"/>
      <c r="SY44" s="23"/>
      <c r="SZ44" s="23"/>
      <c r="TA44" s="23"/>
      <c r="TB44" s="23"/>
      <c r="TC44" s="23"/>
      <c r="TD44" s="23"/>
      <c r="TE44" s="23"/>
      <c r="TF44" s="23"/>
      <c r="TG44" s="23"/>
      <c r="TH44" s="23"/>
      <c r="TI44" s="23"/>
      <c r="TJ44" s="23"/>
      <c r="TK44" s="23"/>
      <c r="TL44" s="23"/>
      <c r="TM44" s="23"/>
      <c r="TN44" s="23"/>
      <c r="TO44" s="23"/>
      <c r="TP44" s="23"/>
      <c r="TQ44" s="23"/>
      <c r="TR44" s="23"/>
      <c r="TS44" s="23"/>
      <c r="TT44" s="23"/>
      <c r="TU44" s="23"/>
      <c r="TV44" s="23"/>
      <c r="TW44" s="23"/>
      <c r="TX44" s="23"/>
      <c r="TY44" s="23"/>
      <c r="TZ44" s="23"/>
      <c r="UA44" s="23"/>
      <c r="UB44" s="23"/>
      <c r="UC44" s="23"/>
      <c r="UD44" s="23"/>
      <c r="UE44" s="23"/>
      <c r="UF44" s="23"/>
      <c r="UG44" s="23"/>
      <c r="UH44" s="23"/>
      <c r="UI44" s="23"/>
      <c r="UJ44" s="23"/>
      <c r="UK44" s="23"/>
      <c r="UL44" s="23"/>
    </row>
    <row r="45" spans="1:558" s="17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  <c r="IX45" s="23"/>
      <c r="IY45" s="23"/>
      <c r="IZ45" s="23"/>
      <c r="JA45" s="23"/>
      <c r="JB45" s="23"/>
      <c r="JC45" s="23"/>
      <c r="JD45" s="23"/>
      <c r="JE45" s="23"/>
      <c r="JF45" s="23"/>
      <c r="JG45" s="23"/>
      <c r="JH45" s="23"/>
      <c r="JI45" s="23"/>
      <c r="JJ45" s="23"/>
      <c r="JK45" s="23"/>
      <c r="JL45" s="23"/>
      <c r="JM45" s="23"/>
      <c r="JN45" s="23"/>
      <c r="JO45" s="23"/>
      <c r="JP45" s="23"/>
      <c r="JQ45" s="23"/>
      <c r="JR45" s="23"/>
      <c r="JS45" s="23"/>
      <c r="JT45" s="23"/>
      <c r="JU45" s="23"/>
      <c r="JV45" s="23"/>
      <c r="JW45" s="23"/>
      <c r="JX45" s="23"/>
      <c r="JY45" s="23"/>
      <c r="JZ45" s="23"/>
      <c r="KA45" s="23"/>
      <c r="KB45" s="23"/>
      <c r="KC45" s="23"/>
      <c r="KD45" s="23"/>
      <c r="KE45" s="23"/>
      <c r="KF45" s="23"/>
      <c r="KG45" s="23"/>
      <c r="KH45" s="23"/>
      <c r="KI45" s="23"/>
      <c r="KJ45" s="23"/>
      <c r="KK45" s="23"/>
      <c r="KL45" s="23"/>
      <c r="KM45" s="23"/>
      <c r="KN45" s="23"/>
      <c r="KO45" s="23"/>
      <c r="KP45" s="23"/>
      <c r="KQ45" s="23"/>
      <c r="KR45" s="23"/>
      <c r="KS45" s="23"/>
      <c r="KT45" s="23"/>
      <c r="KU45" s="23"/>
      <c r="KV45" s="23"/>
      <c r="KW45" s="23"/>
      <c r="KX45" s="23"/>
      <c r="KY45" s="23"/>
      <c r="KZ45" s="23"/>
      <c r="LA45" s="23"/>
      <c r="LB45" s="23"/>
      <c r="LC45" s="23"/>
      <c r="LD45" s="23"/>
      <c r="LE45" s="23"/>
      <c r="LF45" s="23"/>
      <c r="LG45" s="23"/>
      <c r="LH45" s="23"/>
      <c r="LI45" s="23"/>
      <c r="LJ45" s="23"/>
      <c r="LK45" s="23"/>
      <c r="LL45" s="23"/>
      <c r="LM45" s="23"/>
      <c r="LN45" s="23"/>
      <c r="LO45" s="23"/>
      <c r="LP45" s="23"/>
      <c r="LQ45" s="23"/>
      <c r="LR45" s="23"/>
      <c r="LS45" s="23"/>
      <c r="LT45" s="23"/>
      <c r="LU45" s="23"/>
      <c r="LV45" s="23"/>
      <c r="LW45" s="23"/>
      <c r="LX45" s="23"/>
      <c r="LY45" s="23"/>
      <c r="LZ45" s="23"/>
      <c r="MA45" s="23"/>
      <c r="MB45" s="23"/>
      <c r="MC45" s="23"/>
      <c r="MD45" s="23"/>
      <c r="ME45" s="23"/>
      <c r="MF45" s="23"/>
      <c r="MG45" s="23"/>
      <c r="MH45" s="23"/>
      <c r="MI45" s="23"/>
      <c r="MJ45" s="23"/>
      <c r="MK45" s="23"/>
      <c r="ML45" s="23"/>
      <c r="MM45" s="23"/>
      <c r="MN45" s="23"/>
      <c r="MO45" s="23"/>
      <c r="MP45" s="23"/>
      <c r="MQ45" s="23"/>
      <c r="MR45" s="23"/>
      <c r="MS45" s="23"/>
      <c r="MT45" s="23"/>
      <c r="MU45" s="23"/>
      <c r="MV45" s="23"/>
      <c r="MW45" s="23"/>
      <c r="MX45" s="23"/>
      <c r="MY45" s="23"/>
      <c r="MZ45" s="23"/>
      <c r="NA45" s="23"/>
      <c r="NB45" s="23"/>
      <c r="NC45" s="23"/>
      <c r="ND45" s="23"/>
      <c r="NE45" s="23"/>
      <c r="NF45" s="23"/>
      <c r="NG45" s="23"/>
      <c r="NH45" s="23"/>
      <c r="NI45" s="23"/>
      <c r="NJ45" s="23"/>
      <c r="NK45" s="23"/>
      <c r="NL45" s="23"/>
      <c r="NM45" s="23"/>
      <c r="NN45" s="23"/>
      <c r="NO45" s="23"/>
      <c r="NP45" s="23"/>
      <c r="NQ45" s="23"/>
      <c r="NR45" s="23"/>
      <c r="NS45" s="23"/>
      <c r="NT45" s="23"/>
      <c r="NU45" s="23"/>
      <c r="NV45" s="23"/>
      <c r="NW45" s="23"/>
      <c r="NX45" s="23"/>
      <c r="NY45" s="23"/>
      <c r="NZ45" s="23"/>
      <c r="OA45" s="23"/>
      <c r="OB45" s="23"/>
      <c r="OC45" s="23"/>
      <c r="OD45" s="23"/>
      <c r="OE45" s="23"/>
      <c r="OF45" s="23"/>
      <c r="OG45" s="23"/>
      <c r="OH45" s="23"/>
      <c r="OI45" s="23"/>
      <c r="OJ45" s="23"/>
      <c r="OK45" s="23"/>
      <c r="OL45" s="23"/>
      <c r="OM45" s="23"/>
      <c r="ON45" s="23"/>
      <c r="OO45" s="23"/>
      <c r="OP45" s="23"/>
      <c r="OQ45" s="23"/>
      <c r="OR45" s="23"/>
      <c r="OS45" s="23"/>
      <c r="OT45" s="23"/>
      <c r="OU45" s="23"/>
      <c r="OV45" s="23"/>
      <c r="OW45" s="23"/>
      <c r="OX45" s="23"/>
      <c r="OY45" s="23"/>
      <c r="OZ45" s="23"/>
      <c r="PA45" s="23"/>
      <c r="PB45" s="23"/>
      <c r="PC45" s="23"/>
      <c r="PD45" s="23"/>
      <c r="PE45" s="23"/>
      <c r="PF45" s="23"/>
      <c r="PG45" s="23"/>
      <c r="PH45" s="23"/>
      <c r="PI45" s="23"/>
      <c r="PJ45" s="23"/>
      <c r="PK45" s="23"/>
      <c r="PL45" s="23"/>
      <c r="PM45" s="23"/>
      <c r="PN45" s="23"/>
      <c r="PO45" s="23"/>
      <c r="PP45" s="23"/>
      <c r="PQ45" s="23"/>
      <c r="PR45" s="23"/>
      <c r="PS45" s="23"/>
      <c r="PT45" s="23"/>
      <c r="PU45" s="23"/>
      <c r="PV45" s="23"/>
      <c r="PW45" s="23"/>
      <c r="PX45" s="23"/>
      <c r="PY45" s="23"/>
      <c r="PZ45" s="23"/>
      <c r="QA45" s="23"/>
      <c r="QB45" s="23"/>
      <c r="QC45" s="23"/>
      <c r="QD45" s="23"/>
      <c r="QE45" s="23"/>
      <c r="QF45" s="23"/>
      <c r="QG45" s="23"/>
      <c r="QH45" s="23"/>
      <c r="QI45" s="23"/>
      <c r="QJ45" s="23"/>
      <c r="QK45" s="23"/>
      <c r="QL45" s="23"/>
      <c r="QM45" s="23"/>
      <c r="QN45" s="23"/>
      <c r="QO45" s="23"/>
      <c r="QP45" s="23"/>
      <c r="QQ45" s="23"/>
      <c r="QR45" s="23"/>
      <c r="QS45" s="23"/>
      <c r="QT45" s="23"/>
      <c r="QU45" s="23"/>
      <c r="QV45" s="23"/>
      <c r="QW45" s="23"/>
      <c r="QX45" s="23"/>
      <c r="QY45" s="23"/>
      <c r="QZ45" s="23"/>
      <c r="RA45" s="23"/>
      <c r="RB45" s="23"/>
      <c r="RC45" s="23"/>
      <c r="RD45" s="23"/>
      <c r="RE45" s="23"/>
      <c r="RF45" s="23"/>
      <c r="RG45" s="23"/>
      <c r="RH45" s="23"/>
      <c r="RI45" s="23"/>
      <c r="RJ45" s="23"/>
      <c r="RK45" s="23"/>
      <c r="RL45" s="23"/>
      <c r="RM45" s="23"/>
      <c r="RN45" s="23"/>
      <c r="RO45" s="23"/>
      <c r="RP45" s="23"/>
      <c r="RQ45" s="23"/>
      <c r="RR45" s="23"/>
      <c r="RS45" s="23"/>
      <c r="RT45" s="23"/>
      <c r="RU45" s="23"/>
      <c r="RV45" s="23"/>
      <c r="RW45" s="23"/>
      <c r="RX45" s="23"/>
      <c r="RY45" s="23"/>
      <c r="RZ45" s="23"/>
      <c r="SA45" s="23"/>
      <c r="SB45" s="23"/>
      <c r="SC45" s="23"/>
      <c r="SD45" s="23"/>
      <c r="SE45" s="23"/>
      <c r="SF45" s="23"/>
      <c r="SG45" s="23"/>
      <c r="SH45" s="23"/>
      <c r="SI45" s="23"/>
      <c r="SJ45" s="23"/>
      <c r="SK45" s="23"/>
      <c r="SL45" s="23"/>
      <c r="SM45" s="23"/>
      <c r="SN45" s="23"/>
      <c r="SO45" s="23"/>
      <c r="SP45" s="23"/>
      <c r="SQ45" s="23"/>
      <c r="SR45" s="23"/>
      <c r="SS45" s="23"/>
      <c r="ST45" s="23"/>
      <c r="SU45" s="23"/>
      <c r="SV45" s="23"/>
      <c r="SW45" s="23"/>
      <c r="SX45" s="23"/>
      <c r="SY45" s="23"/>
      <c r="SZ45" s="23"/>
      <c r="TA45" s="23"/>
      <c r="TB45" s="23"/>
      <c r="TC45" s="23"/>
      <c r="TD45" s="23"/>
      <c r="TE45" s="23"/>
      <c r="TF45" s="23"/>
      <c r="TG45" s="23"/>
      <c r="TH45" s="23"/>
      <c r="TI45" s="23"/>
      <c r="TJ45" s="23"/>
      <c r="TK45" s="23"/>
      <c r="TL45" s="23"/>
      <c r="TM45" s="23"/>
      <c r="TN45" s="23"/>
      <c r="TO45" s="23"/>
      <c r="TP45" s="23"/>
      <c r="TQ45" s="23"/>
      <c r="TR45" s="23"/>
      <c r="TS45" s="23"/>
      <c r="TT45" s="23"/>
      <c r="TU45" s="23"/>
      <c r="TV45" s="23"/>
      <c r="TW45" s="23"/>
      <c r="TX45" s="23"/>
      <c r="TY45" s="23"/>
      <c r="TZ45" s="23"/>
      <c r="UA45" s="23"/>
      <c r="UB45" s="23"/>
      <c r="UC45" s="23"/>
      <c r="UD45" s="23"/>
      <c r="UE45" s="23"/>
      <c r="UF45" s="23"/>
      <c r="UG45" s="23"/>
      <c r="UH45" s="23"/>
      <c r="UI45" s="23"/>
      <c r="UJ45" s="23"/>
      <c r="UK45" s="23"/>
      <c r="UL45" s="23"/>
    </row>
    <row r="46" spans="1:55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55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558" ht="21" customHeight="1" x14ac:dyDescent="0.25">
      <c r="A48" s="13"/>
      <c r="B48" s="11"/>
      <c r="C48" s="112"/>
      <c r="D48" s="112"/>
      <c r="E48" s="112"/>
      <c r="F48" s="112"/>
      <c r="G48" s="112"/>
      <c r="H48" s="112"/>
    </row>
    <row r="57" ht="12.75" customHeight="1" x14ac:dyDescent="0.25"/>
    <row r="58" ht="12.75" customHeight="1" x14ac:dyDescent="0.25"/>
    <row r="59" ht="12.75" customHeight="1" x14ac:dyDescent="0.25"/>
  </sheetData>
  <sheetProtection algorithmName="SHA-512" hashValue="SW9n+hrht62fStO7a1NIxGGoBdPZRy1lEtzY4w8qogHdNvT60g2c45B+prq0NuLyaTE8Z8oDCieTNZCsQq07Fw==" saltValue="KykWXxJ2ef7SaSk/GT4pdQ==" spinCount="100000" sheet="1" selectLockedCells="1"/>
  <mergeCells count="3">
    <mergeCell ref="A1:H1"/>
    <mergeCell ref="G10:H15"/>
    <mergeCell ref="B26:G26"/>
  </mergeCells>
  <dataValidations count="1"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required is 2-5%.  Projects with a higher than average number of openings and corners may require a higher allowance. " sqref="E4" xr:uid="{00000000-0002-0000-0400-000000000000}">
      <formula1>5</formula1>
      <formula2>100</formula2>
    </dataValidation>
  </dataValidations>
  <hyperlinks>
    <hyperlink ref="H38" r:id="rId1" xr:uid="{00000000-0004-0000-0400-000000000000}"/>
    <hyperlink ref="H37" r:id="rId2" xr:uid="{00000000-0004-0000-0400-000001000000}"/>
    <hyperlink ref="H36" r:id="rId3" xr:uid="{00000000-0004-0000-0400-000002000000}"/>
    <hyperlink ref="H34" r:id="rId4" xr:uid="{00000000-0004-0000-04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>
    <tabColor theme="8"/>
  </sheetPr>
  <dimension ref="A1:J48"/>
  <sheetViews>
    <sheetView showGridLines="0" showRowColHeaders="0"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485" t="s">
        <v>168</v>
      </c>
      <c r="B1" s="485"/>
      <c r="C1" s="485"/>
      <c r="D1" s="485"/>
      <c r="E1" s="485"/>
      <c r="F1" s="485"/>
      <c r="G1" s="485"/>
      <c r="H1" s="485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1"/>
      <c r="B3" s="125"/>
      <c r="C3" s="126"/>
      <c r="D3" s="94" t="s">
        <v>87</v>
      </c>
      <c r="E3" s="96">
        <v>200</v>
      </c>
      <c r="F3" s="158"/>
      <c r="G3" s="2"/>
      <c r="H3" s="3"/>
    </row>
    <row r="4" spans="1:8" ht="18" customHeight="1" x14ac:dyDescent="0.3">
      <c r="A4" s="1"/>
      <c r="B4" s="170"/>
      <c r="C4" s="171"/>
      <c r="D4" s="172" t="s">
        <v>37</v>
      </c>
      <c r="E4" s="173">
        <v>40</v>
      </c>
      <c r="F4" s="163"/>
    </row>
    <row r="5" spans="1:8" ht="18" customHeight="1" x14ac:dyDescent="0.3">
      <c r="A5" s="1"/>
      <c r="B5" s="125"/>
      <c r="C5" s="126"/>
      <c r="D5" s="95" t="s">
        <v>13</v>
      </c>
      <c r="E5" s="97">
        <v>0</v>
      </c>
      <c r="F5" s="159"/>
      <c r="G5" s="493" t="s">
        <v>107</v>
      </c>
      <c r="H5" s="493"/>
    </row>
    <row r="6" spans="1:8" ht="18" customHeight="1" x14ac:dyDescent="0.3">
      <c r="A6" s="1"/>
      <c r="B6" s="125"/>
      <c r="C6" s="126"/>
      <c r="D6" s="95" t="s">
        <v>86</v>
      </c>
      <c r="E6" s="344">
        <f>E3+E3*E5/100</f>
        <v>200</v>
      </c>
      <c r="F6" s="16"/>
      <c r="G6" s="493"/>
      <c r="H6" s="493"/>
    </row>
    <row r="7" spans="1:8" ht="12.75" customHeight="1" x14ac:dyDescent="0.25">
      <c r="A7" s="22"/>
      <c r="B7" s="12"/>
      <c r="C7" s="22"/>
      <c r="D7" s="22"/>
      <c r="E7" s="22"/>
      <c r="F7" s="22"/>
      <c r="G7" s="493"/>
      <c r="H7" s="493"/>
    </row>
    <row r="8" spans="1:8" ht="18" customHeight="1" thickBot="1" x14ac:dyDescent="0.35">
      <c r="A8" s="22"/>
      <c r="B8" s="269" t="s">
        <v>0</v>
      </c>
      <c r="C8" s="101" t="s">
        <v>38</v>
      </c>
      <c r="D8" s="102" t="s">
        <v>39</v>
      </c>
      <c r="E8" s="102" t="s">
        <v>40</v>
      </c>
      <c r="F8" s="253"/>
      <c r="G8" s="493"/>
      <c r="H8" s="493"/>
    </row>
    <row r="9" spans="1:8" ht="18" customHeight="1" thickTop="1" x14ac:dyDescent="0.3">
      <c r="A9" s="22"/>
      <c r="B9" s="304" t="s">
        <v>11</v>
      </c>
      <c r="C9" s="127">
        <v>0.4</v>
      </c>
      <c r="D9" s="128">
        <v>0.4</v>
      </c>
      <c r="E9" s="128">
        <v>0.2</v>
      </c>
      <c r="F9" s="10">
        <f>SUM(C9,D9,E9)</f>
        <v>1</v>
      </c>
      <c r="G9" s="490" t="s">
        <v>90</v>
      </c>
      <c r="H9" s="490"/>
    </row>
    <row r="10" spans="1:8" ht="18" hidden="1" customHeight="1" x14ac:dyDescent="0.25">
      <c r="A10" s="22"/>
      <c r="B10" s="51" t="s">
        <v>67</v>
      </c>
      <c r="C10" s="104">
        <v>0.43</v>
      </c>
      <c r="D10" s="105">
        <v>0.64</v>
      </c>
      <c r="E10" s="105">
        <v>0.84</v>
      </c>
      <c r="F10" s="161"/>
      <c r="G10" s="490"/>
      <c r="H10" s="490"/>
    </row>
    <row r="11" spans="1:8" ht="12.75" customHeight="1" x14ac:dyDescent="0.25">
      <c r="A11" s="22"/>
      <c r="B11" s="50" t="s">
        <v>1</v>
      </c>
      <c r="C11" s="106">
        <f>+(E6*C9)/C10</f>
        <v>186.04651162790697</v>
      </c>
      <c r="D11" s="107">
        <f>+(E6*D9)/D10</f>
        <v>125</v>
      </c>
      <c r="E11" s="107">
        <f>+(E6*E9)/E10</f>
        <v>47.61904761904762</v>
      </c>
      <c r="F11" s="255"/>
      <c r="G11" s="490"/>
      <c r="H11" s="490"/>
    </row>
    <row r="12" spans="1:8" ht="12.75" customHeight="1" x14ac:dyDescent="0.25">
      <c r="A12" s="22"/>
      <c r="B12" s="145" t="s">
        <v>68</v>
      </c>
      <c r="C12" s="104">
        <v>180</v>
      </c>
      <c r="D12" s="105">
        <v>96</v>
      </c>
      <c r="E12" s="105">
        <v>84</v>
      </c>
      <c r="F12" s="161"/>
      <c r="G12" s="490"/>
      <c r="H12" s="490"/>
    </row>
    <row r="13" spans="1:8" ht="12.75" customHeight="1" thickBot="1" x14ac:dyDescent="0.3">
      <c r="A13" s="22"/>
      <c r="B13" s="51" t="s">
        <v>84</v>
      </c>
      <c r="C13" s="129">
        <v>12</v>
      </c>
      <c r="D13" s="130">
        <v>12</v>
      </c>
      <c r="E13" s="130">
        <v>12</v>
      </c>
      <c r="F13" s="161"/>
      <c r="G13" s="490"/>
      <c r="H13" s="490"/>
    </row>
    <row r="14" spans="1:8" ht="18.75" hidden="1" customHeight="1" x14ac:dyDescent="0.25">
      <c r="A14" s="22"/>
      <c r="B14" s="50" t="s">
        <v>64</v>
      </c>
      <c r="C14" s="104">
        <v>12</v>
      </c>
      <c r="D14" s="105">
        <v>12</v>
      </c>
      <c r="E14" s="105">
        <v>12</v>
      </c>
      <c r="F14" s="161"/>
      <c r="G14" s="490"/>
      <c r="H14" s="490"/>
    </row>
    <row r="15" spans="1:8" ht="18.75" hidden="1" customHeight="1" thickBot="1" x14ac:dyDescent="0.3">
      <c r="A15" s="22"/>
      <c r="B15" s="92" t="s">
        <v>65</v>
      </c>
      <c r="C15" s="90">
        <v>12</v>
      </c>
      <c r="D15" s="91">
        <v>12</v>
      </c>
      <c r="E15" s="91">
        <v>12</v>
      </c>
      <c r="F15" s="161"/>
      <c r="G15" s="155"/>
      <c r="H15" s="155"/>
    </row>
    <row r="16" spans="1:8" ht="18" customHeight="1" thickBot="1" x14ac:dyDescent="0.35">
      <c r="A16" s="22"/>
      <c r="B16" s="139" t="s">
        <v>69</v>
      </c>
      <c r="C16" s="119">
        <f>IF(MOD(C11+C14,C12)&lt;=C14,1+ROUNDDOWN(C11/C12,0),ROUNDDOWN(C11/C12,0))</f>
        <v>1</v>
      </c>
      <c r="D16" s="119">
        <f>IF(MOD(D11+D14,D12)&lt;=D14,1+ROUNDDOWN(D11/D12,0),ROUNDDOWN(D11/D12,0))</f>
        <v>1</v>
      </c>
      <c r="E16" s="131">
        <f>IF(MOD(E11+E14,E12)&lt;=E14,1+ROUNDDOWN(E11/E12,0),ROUNDDOWN(E11/E12,0))</f>
        <v>0</v>
      </c>
      <c r="F16" s="256"/>
      <c r="G16" s="155"/>
      <c r="H16" s="155"/>
    </row>
    <row r="17" spans="1:10" ht="18" customHeight="1" thickBot="1" x14ac:dyDescent="0.35">
      <c r="A17" s="22"/>
      <c r="B17" s="121" t="s">
        <v>85</v>
      </c>
      <c r="C17" s="119">
        <f>IF(ROUNDUP((C11-(C12*C16))/C13,0)&lt;0,0,ROUNDUP((C11-(C12*C16))/C13,0))</f>
        <v>1</v>
      </c>
      <c r="D17" s="119">
        <f>IF(ROUNDUP((D11-(D12*D16))/D13,0)&lt;0,0,ROUNDUP((D11-(D12*D16))/D13,0))</f>
        <v>3</v>
      </c>
      <c r="E17" s="131">
        <f>IF(ROUNDUP((E11-(E12*E16))/E13,0)&lt;0,0,ROUNDUP((E11-(E12*E16))/E13,0))</f>
        <v>4</v>
      </c>
      <c r="F17" s="256"/>
    </row>
    <row r="18" spans="1:10" ht="18" customHeight="1" x14ac:dyDescent="0.3">
      <c r="A18" s="22"/>
      <c r="B18" s="122" t="s">
        <v>66</v>
      </c>
      <c r="C18" s="123">
        <f>(C16*C12)+(ROUNDUP(C17/2,0)*C14)+(ROUNDDOWN(C17/2,0)*C15)</f>
        <v>192</v>
      </c>
      <c r="D18" s="123">
        <f>(D16*D12)+(ROUNDUP(D17/2,0)*D14)+(ROUNDDOWN(D17/2,0)*D15)</f>
        <v>132</v>
      </c>
      <c r="E18" s="132">
        <f>(E16*E12)+(ROUNDUP(E17/2,0)*E14)+(ROUNDDOWN(E17/2,0)*E15)</f>
        <v>48</v>
      </c>
      <c r="F18" s="256"/>
      <c r="G18" s="155"/>
      <c r="H18" s="155"/>
    </row>
    <row r="19" spans="1:10" ht="12.75" customHeight="1" x14ac:dyDescent="0.25">
      <c r="A19" s="5"/>
      <c r="B19" s="144" t="s">
        <v>71</v>
      </c>
      <c r="C19" s="25">
        <f>C12*C20</f>
        <v>2970</v>
      </c>
      <c r="D19" s="25">
        <f>D12*D20</f>
        <v>2409.6000000000004</v>
      </c>
      <c r="E19" s="25">
        <f>E12*E20</f>
        <v>2898</v>
      </c>
      <c r="F19" s="25"/>
      <c r="G19" s="155"/>
      <c r="H19" s="155"/>
    </row>
    <row r="20" spans="1:10" ht="12.75" customHeight="1" x14ac:dyDescent="0.25">
      <c r="A20" s="22"/>
      <c r="B20" s="266" t="s">
        <v>70</v>
      </c>
      <c r="C20" s="29">
        <v>16.5</v>
      </c>
      <c r="D20" s="29">
        <v>25.1</v>
      </c>
      <c r="E20" s="29">
        <v>34.5</v>
      </c>
      <c r="F20" s="257"/>
      <c r="G20" s="155"/>
      <c r="H20" s="155"/>
    </row>
    <row r="21" spans="1:10" ht="12.75" hidden="1" customHeight="1" x14ac:dyDescent="0.25">
      <c r="A21" s="22"/>
      <c r="B21" s="24" t="s">
        <v>72</v>
      </c>
      <c r="C21" s="25">
        <f>+C18*C10</f>
        <v>82.56</v>
      </c>
      <c r="D21" s="25">
        <f>+D18*D10</f>
        <v>84.48</v>
      </c>
      <c r="E21" s="25">
        <f>+E18*E10</f>
        <v>40.32</v>
      </c>
      <c r="F21" s="161"/>
      <c r="G21" s="155"/>
      <c r="H21" s="155"/>
    </row>
    <row r="22" spans="1:10" ht="12.75" customHeight="1" x14ac:dyDescent="0.25">
      <c r="A22" s="305"/>
      <c r="B22" s="306">
        <f>ROUND(+E4/100*(C16*15+C17), 0)</f>
        <v>6</v>
      </c>
      <c r="C22" s="307" t="s">
        <v>74</v>
      </c>
      <c r="D22" s="308"/>
      <c r="E22" s="309"/>
      <c r="G22" s="155"/>
      <c r="H22" s="155"/>
      <c r="J22" s="22"/>
    </row>
    <row r="23" spans="1:10" ht="12.75" customHeight="1" x14ac:dyDescent="0.25">
      <c r="A23" s="22"/>
      <c r="B23" s="310">
        <f>+(C16*15)+C17-B22</f>
        <v>10</v>
      </c>
      <c r="C23" s="311" t="s">
        <v>73</v>
      </c>
      <c r="D23" s="312"/>
      <c r="E23" s="313"/>
      <c r="G23" s="155"/>
      <c r="H23" s="155"/>
    </row>
    <row r="24" spans="1:10" ht="12.75" customHeight="1" x14ac:dyDescent="0.25">
      <c r="B24" s="87" t="s">
        <v>92</v>
      </c>
      <c r="C24" s="203"/>
      <c r="D24" s="203"/>
    </row>
    <row r="25" spans="1:10" ht="12.75" customHeight="1" x14ac:dyDescent="0.25">
      <c r="B25" s="86" t="s">
        <v>89</v>
      </c>
      <c r="C25" s="203"/>
      <c r="D25" s="203"/>
    </row>
    <row r="26" spans="1:10" ht="12.75" customHeight="1" x14ac:dyDescent="0.25">
      <c r="A26" s="22"/>
      <c r="B26" s="87" t="s">
        <v>50</v>
      </c>
      <c r="C26" s="240"/>
      <c r="D26" s="240"/>
      <c r="E26" s="22"/>
      <c r="F26" s="22"/>
      <c r="G26" s="22"/>
    </row>
    <row r="27" spans="1:10" ht="18" customHeight="1" x14ac:dyDescent="0.25">
      <c r="A27" s="34"/>
      <c r="B27" s="34"/>
      <c r="C27" s="68" t="s">
        <v>93</v>
      </c>
      <c r="D27" s="164">
        <f>SUM(C21:E21)</f>
        <v>207.36</v>
      </c>
      <c r="E27" s="72" t="s">
        <v>41</v>
      </c>
      <c r="F27" s="34"/>
      <c r="G27" s="34"/>
      <c r="H27" s="34"/>
    </row>
    <row r="28" spans="1:10" ht="15.75" customHeight="1" x14ac:dyDescent="0.25">
      <c r="A28" s="39"/>
      <c r="B28" s="39"/>
      <c r="C28" s="69" t="s">
        <v>95</v>
      </c>
      <c r="D28" s="70">
        <f>ROUND(+D27/30,0)</f>
        <v>7</v>
      </c>
      <c r="E28" s="73" t="s">
        <v>4</v>
      </c>
      <c r="F28" s="40"/>
      <c r="G28" s="39"/>
      <c r="H28" s="35"/>
    </row>
    <row r="29" spans="1:10" ht="12.75" customHeight="1" x14ac:dyDescent="0.25">
      <c r="A29" s="39"/>
      <c r="B29" s="487" t="s">
        <v>8</v>
      </c>
      <c r="C29" s="487"/>
      <c r="D29" s="487"/>
      <c r="E29" s="487"/>
      <c r="F29" s="487"/>
      <c r="G29" s="487"/>
      <c r="H29" s="35"/>
    </row>
    <row r="30" spans="1:10" ht="18" customHeight="1" x14ac:dyDescent="0.25">
      <c r="A30" s="34"/>
      <c r="B30" s="34"/>
      <c r="C30" s="68" t="s">
        <v>96</v>
      </c>
      <c r="D30" s="164">
        <f>SUM(C18*C20+D18*D20+E18*E20)</f>
        <v>8137.2000000000007</v>
      </c>
      <c r="E30" s="72" t="s">
        <v>3</v>
      </c>
      <c r="F30" s="34"/>
      <c r="G30" s="34"/>
      <c r="H30" s="34"/>
    </row>
    <row r="31" spans="1:10" s="11" customFormat="1" ht="12.75" customHeight="1" x14ac:dyDescent="0.25">
      <c r="A31" s="13"/>
      <c r="B31" s="13"/>
      <c r="C31" s="13"/>
      <c r="D31" s="13"/>
      <c r="E31" s="13"/>
      <c r="F31" s="13"/>
      <c r="G31" s="13"/>
    </row>
    <row r="32" spans="1:10" s="11" customFormat="1" ht="12.75" customHeight="1" x14ac:dyDescent="0.25">
      <c r="A32" s="13"/>
      <c r="B32" s="13"/>
      <c r="C32" s="13"/>
      <c r="D32" s="13"/>
      <c r="E32" s="13"/>
      <c r="F32" s="13"/>
      <c r="G32" s="13"/>
    </row>
    <row r="33" spans="1:8" s="11" customFormat="1" ht="12.75" customHeight="1" x14ac:dyDescent="0.25">
      <c r="A33" s="13"/>
      <c r="B33" s="13"/>
      <c r="C33" s="13"/>
      <c r="D33" s="13"/>
      <c r="E33" s="13"/>
      <c r="F33" s="13"/>
      <c r="G33" s="13"/>
    </row>
    <row r="34" spans="1:8" s="11" customFormat="1" ht="18" customHeight="1" x14ac:dyDescent="0.25">
      <c r="A34" s="13"/>
      <c r="B34" s="13"/>
      <c r="C34" s="13"/>
      <c r="D34" s="13"/>
      <c r="G34" s="13"/>
      <c r="H34" s="223" t="s">
        <v>9</v>
      </c>
    </row>
    <row r="35" spans="1:8" s="11" customFormat="1" x14ac:dyDescent="0.25">
      <c r="A35" s="13"/>
      <c r="B35" s="13"/>
      <c r="C35" s="13"/>
      <c r="D35" s="13"/>
      <c r="E35" s="13"/>
      <c r="F35" s="13"/>
      <c r="G35" s="13"/>
      <c r="H35" s="19"/>
    </row>
    <row r="36" spans="1:8" s="11" customFormat="1" x14ac:dyDescent="0.25">
      <c r="A36" s="13"/>
      <c r="B36" s="13"/>
      <c r="C36" s="13"/>
      <c r="D36" s="13"/>
      <c r="E36" s="13"/>
      <c r="F36" s="13"/>
      <c r="H36" s="224" t="s">
        <v>56</v>
      </c>
    </row>
    <row r="37" spans="1:8" s="11" customFormat="1" x14ac:dyDescent="0.25">
      <c r="A37" s="13"/>
      <c r="B37" s="13"/>
      <c r="C37" s="13"/>
      <c r="D37" s="13"/>
      <c r="E37" s="13"/>
      <c r="F37" s="13"/>
      <c r="H37" s="199" t="s">
        <v>55</v>
      </c>
    </row>
    <row r="38" spans="1:8" s="11" customFormat="1" x14ac:dyDescent="0.25">
      <c r="A38" s="13"/>
      <c r="B38" s="13"/>
      <c r="C38" s="13"/>
      <c r="D38" s="13"/>
      <c r="E38" s="13"/>
      <c r="F38" s="13"/>
      <c r="H38" s="268"/>
    </row>
    <row r="39" spans="1:8" s="11" customFormat="1" x14ac:dyDescent="0.25">
      <c r="A39" s="13"/>
      <c r="B39" s="13"/>
      <c r="C39" s="13"/>
      <c r="D39" s="13"/>
      <c r="E39" s="13"/>
      <c r="F39" s="13"/>
      <c r="H39" s="199" t="s">
        <v>6</v>
      </c>
    </row>
    <row r="40" spans="1:8" s="11" customFormat="1" x14ac:dyDescent="0.25">
      <c r="A40" s="13"/>
      <c r="B40" s="13"/>
      <c r="C40" s="13"/>
      <c r="D40" s="13"/>
      <c r="E40" s="13"/>
      <c r="F40" s="13"/>
      <c r="H40" s="199" t="s">
        <v>59</v>
      </c>
    </row>
    <row r="41" spans="1:8" s="11" customFormat="1" x14ac:dyDescent="0.25">
      <c r="A41" s="13"/>
      <c r="B41" s="13"/>
      <c r="C41" s="13"/>
      <c r="D41" s="13"/>
      <c r="E41" s="13"/>
      <c r="F41" s="13"/>
      <c r="G41" s="19"/>
      <c r="H41" s="199" t="s">
        <v>10</v>
      </c>
    </row>
    <row r="42" spans="1:8" s="11" customFormat="1" x14ac:dyDescent="0.25">
      <c r="A42" s="13"/>
      <c r="B42" s="13"/>
      <c r="C42" s="13"/>
      <c r="D42" s="13"/>
      <c r="E42" s="13"/>
      <c r="F42" s="13"/>
      <c r="G42" s="19"/>
      <c r="H42" s="270" t="s">
        <v>7</v>
      </c>
    </row>
    <row r="43" spans="1:8" s="11" customFormat="1" x14ac:dyDescent="0.25">
      <c r="A43" s="13"/>
      <c r="B43" s="13"/>
      <c r="C43" s="13"/>
      <c r="D43" s="13"/>
      <c r="E43" s="13"/>
      <c r="F43" s="13"/>
      <c r="G43" s="19"/>
      <c r="H43" s="270"/>
    </row>
    <row r="44" spans="1:8" s="11" customFormat="1" x14ac:dyDescent="0.25">
      <c r="A44" s="13"/>
      <c r="B44" s="13"/>
      <c r="C44" s="13"/>
      <c r="D44" s="13"/>
      <c r="E44" s="13"/>
      <c r="F44" s="13"/>
      <c r="G44" s="19"/>
      <c r="H44" s="270"/>
    </row>
    <row r="45" spans="1:8" s="11" customFormat="1" x14ac:dyDescent="0.25">
      <c r="A45" s="13"/>
      <c r="B45" s="13"/>
      <c r="C45" s="13"/>
      <c r="D45" s="13"/>
      <c r="E45" s="13"/>
      <c r="F45" s="13"/>
      <c r="G45" s="19"/>
      <c r="H45" s="270"/>
    </row>
    <row r="46" spans="1:8" ht="21" customHeight="1" x14ac:dyDescent="0.3">
      <c r="A46" s="14"/>
      <c r="B46" s="15" t="s">
        <v>16</v>
      </c>
      <c r="C46" s="114"/>
      <c r="D46" s="114"/>
      <c r="E46" s="114"/>
      <c r="F46" s="114"/>
      <c r="G46" s="114"/>
      <c r="H46" s="114"/>
    </row>
    <row r="47" spans="1:8" ht="21" customHeight="1" x14ac:dyDescent="0.25">
      <c r="A47" s="12"/>
      <c r="B47" s="13"/>
      <c r="C47" s="112"/>
      <c r="D47" s="112"/>
      <c r="E47" s="112"/>
      <c r="F47" s="112"/>
      <c r="G47" s="112"/>
      <c r="H47" s="112"/>
    </row>
    <row r="48" spans="1:8" ht="21" customHeight="1" x14ac:dyDescent="0.25">
      <c r="A48" s="22"/>
      <c r="C48" s="112"/>
      <c r="D48" s="112"/>
      <c r="E48" s="112"/>
      <c r="F48" s="112"/>
      <c r="G48" s="112"/>
      <c r="H48" s="112"/>
    </row>
  </sheetData>
  <sheetProtection algorithmName="SHA-512" hashValue="t1MDuiGobSja3hCMek3PnXjo5Ooh5yDF31yKb9huy/bVMe+54hmNxkevlmWOGmKj/TS08cUzCXfAtbYWEbwatQ==" saltValue="GKrqSI62R/81aB0rPbXgFA==" spinCount="100000" sheet="1" selectLockedCells="1"/>
  <mergeCells count="4">
    <mergeCell ref="A1:H1"/>
    <mergeCell ref="B29:G29"/>
    <mergeCell ref="G5:H8"/>
    <mergeCell ref="G9:H14"/>
  </mergeCells>
  <phoneticPr fontId="0" type="noConversion"/>
  <dataValidations xWindow="871" yWindow="259" count="3">
    <dataValidation type="whole" errorStyle="warning" allowBlank="1" showInputMessage="1" showErrorMessage="1" errorTitle="Waste Allowance" error="Based upon our experience waste factors less than 5% may result in a shortage of product delivered to site.  " sqref="F5" xr:uid="{00000000-0002-0000-0500-000000000000}">
      <formula1>0</formula1>
      <formula2>100</formula2>
    </dataValidation>
    <dataValidation allowBlank="1" promptTitle="Typical Waste Allowance" prompt="Typical allowance  is 2-5%. Projects with a higher than average number of openings and corners may require a higher allowance. " sqref="E4" xr:uid="{00000000-0002-0000-0500-000001000000}"/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5" xr:uid="{00000000-0002-0000-0500-000002000000}">
      <formula1>0</formula1>
      <formula2>100</formula2>
    </dataValidation>
  </dataValidations>
  <hyperlinks>
    <hyperlink ref="H41" r:id="rId1" xr:uid="{00000000-0004-0000-0500-000000000000}"/>
    <hyperlink ref="H40" r:id="rId2" xr:uid="{00000000-0004-0000-0500-000001000000}"/>
    <hyperlink ref="H39" r:id="rId3" xr:uid="{00000000-0004-0000-0500-000002000000}"/>
    <hyperlink ref="H37" r:id="rId4" xr:uid="{00000000-0004-0000-0500-000003000000}"/>
  </hyperlinks>
  <pageMargins left="0.75" right="0.75" top="1" bottom="1" header="0.5" footer="0.5"/>
  <pageSetup orientation="portrait" r:id="rId5"/>
  <headerFooter alignWithMargins="0"/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tabColor theme="9"/>
  </sheetPr>
  <dimension ref="A1:N43"/>
  <sheetViews>
    <sheetView showGridLines="0" showRowColHeaders="0" topLeftCell="A4"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494" t="s">
        <v>211</v>
      </c>
      <c r="B1" s="494"/>
      <c r="C1" s="494"/>
      <c r="D1" s="494"/>
      <c r="E1" s="494"/>
      <c r="F1" s="494"/>
      <c r="G1" s="494"/>
      <c r="H1" s="494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2"/>
      <c r="C3" s="43"/>
      <c r="D3" s="133" t="s">
        <v>87</v>
      </c>
      <c r="E3" s="136">
        <v>200</v>
      </c>
      <c r="F3" s="158"/>
      <c r="G3" s="2"/>
      <c r="H3" s="3"/>
    </row>
    <row r="4" spans="1:8" ht="18" customHeight="1" x14ac:dyDescent="0.3">
      <c r="A4" s="22"/>
      <c r="B4" s="42"/>
      <c r="C4" s="43"/>
      <c r="D4" s="134" t="s">
        <v>13</v>
      </c>
      <c r="E4" s="137">
        <v>0</v>
      </c>
      <c r="F4" s="159"/>
      <c r="G4" s="160"/>
      <c r="H4" s="160"/>
    </row>
    <row r="5" spans="1:8" ht="18" customHeight="1" x14ac:dyDescent="0.3">
      <c r="A5" s="22"/>
      <c r="B5" s="42"/>
      <c r="C5" s="43"/>
      <c r="D5" s="134" t="s">
        <v>86</v>
      </c>
      <c r="E5" s="346">
        <f>E3+E3*E4/100</f>
        <v>200</v>
      </c>
      <c r="F5" s="16"/>
      <c r="G5" s="160"/>
      <c r="H5" s="160"/>
    </row>
    <row r="6" spans="1:8" ht="18" customHeight="1" x14ac:dyDescent="0.3">
      <c r="A6" s="22"/>
      <c r="B6" s="30"/>
      <c r="C6" s="31"/>
      <c r="D6" s="135" t="s">
        <v>77</v>
      </c>
      <c r="E6" s="197">
        <v>50</v>
      </c>
      <c r="F6" s="158"/>
      <c r="G6" s="2"/>
      <c r="H6" s="3"/>
    </row>
    <row r="7" spans="1:8" ht="12.75" customHeight="1" x14ac:dyDescent="0.25">
      <c r="A7" s="22"/>
      <c r="B7" s="25"/>
      <c r="C7" s="25"/>
      <c r="D7" s="25"/>
      <c r="E7" s="22"/>
      <c r="F7" s="22"/>
      <c r="G7" s="160"/>
      <c r="H7" s="160"/>
    </row>
    <row r="8" spans="1:8" ht="18" customHeight="1" thickBot="1" x14ac:dyDescent="0.35">
      <c r="A8" s="22"/>
      <c r="B8" s="300" t="s">
        <v>100</v>
      </c>
      <c r="C8" s="301"/>
      <c r="D8" s="161"/>
      <c r="E8" s="495" t="s">
        <v>99</v>
      </c>
      <c r="F8" s="496"/>
      <c r="G8" s="174" t="s">
        <v>110</v>
      </c>
      <c r="H8" s="1"/>
    </row>
    <row r="9" spans="1:8" ht="12.75" customHeight="1" thickTop="1" x14ac:dyDescent="0.3">
      <c r="A9" s="22"/>
      <c r="B9" s="275" t="s">
        <v>101</v>
      </c>
      <c r="C9" s="276">
        <f>E5</f>
        <v>200</v>
      </c>
      <c r="D9" s="161"/>
      <c r="E9" s="497" t="s">
        <v>169</v>
      </c>
      <c r="F9" s="498"/>
      <c r="G9" s="175">
        <f>E6</f>
        <v>50</v>
      </c>
      <c r="H9" s="1"/>
    </row>
    <row r="10" spans="1:8" ht="12.75" customHeight="1" x14ac:dyDescent="0.25">
      <c r="A10" s="22"/>
      <c r="B10" s="279" t="s">
        <v>112</v>
      </c>
      <c r="C10" s="296">
        <v>100</v>
      </c>
      <c r="D10" s="161"/>
      <c r="E10" s="499" t="s">
        <v>109</v>
      </c>
      <c r="F10" s="500"/>
      <c r="G10" s="503">
        <v>5</v>
      </c>
      <c r="H10" s="162"/>
    </row>
    <row r="11" spans="1:8" ht="12.75" customHeight="1" thickBot="1" x14ac:dyDescent="0.3">
      <c r="A11" s="22"/>
      <c r="B11" s="302" t="s">
        <v>111</v>
      </c>
      <c r="C11" s="303">
        <v>5</v>
      </c>
      <c r="D11" s="161"/>
      <c r="E11" s="501"/>
      <c r="F11" s="502"/>
      <c r="G11" s="504"/>
      <c r="H11" s="162"/>
    </row>
    <row r="12" spans="1:8" ht="18" customHeight="1" thickTop="1" thickBot="1" x14ac:dyDescent="0.3">
      <c r="A12" s="22"/>
      <c r="B12" s="283" t="s">
        <v>69</v>
      </c>
      <c r="C12" s="284">
        <f>IF(MOD(C9,C10)&lt;=65,ROUNDDOWN(+E5/C10,0),ROUNDUP(+E5/C10,0))</f>
        <v>2</v>
      </c>
      <c r="D12" s="161"/>
      <c r="E12" s="505" t="s">
        <v>108</v>
      </c>
      <c r="F12" s="506"/>
      <c r="G12" s="284">
        <f>ROUNDUP(E6/G10,0)</f>
        <v>10</v>
      </c>
      <c r="H12" s="162"/>
    </row>
    <row r="13" spans="1:8" ht="18" customHeight="1" thickTop="1" x14ac:dyDescent="0.25">
      <c r="A13" s="22"/>
      <c r="B13" s="285" t="s">
        <v>113</v>
      </c>
      <c r="C13" s="284">
        <f>IF(ROUNDUP((C9-(C10*C12)),0)&lt;0,0,ROUNDUP((C9-(C10*C12))/C11,0))</f>
        <v>0</v>
      </c>
      <c r="D13" s="161"/>
      <c r="E13" s="507" t="s">
        <v>76</v>
      </c>
      <c r="F13" s="507"/>
      <c r="G13" s="286">
        <v>50</v>
      </c>
    </row>
    <row r="14" spans="1:8" ht="12.75" customHeight="1" x14ac:dyDescent="0.25">
      <c r="A14" s="22"/>
      <c r="B14" s="287" t="s">
        <v>71</v>
      </c>
      <c r="C14" s="78">
        <v>1684</v>
      </c>
      <c r="D14" s="161"/>
      <c r="E14" s="161"/>
      <c r="F14" s="161"/>
      <c r="G14" s="161"/>
    </row>
    <row r="15" spans="1:8" ht="12.75" customHeight="1" x14ac:dyDescent="0.25">
      <c r="A15" s="22"/>
      <c r="B15" s="217" t="s">
        <v>114</v>
      </c>
      <c r="C15" s="157">
        <v>68</v>
      </c>
      <c r="D15" s="161"/>
      <c r="E15" s="161"/>
      <c r="F15" s="161"/>
      <c r="G15" s="161"/>
    </row>
    <row r="16" spans="1:8" ht="12.75" customHeight="1" x14ac:dyDescent="0.25">
      <c r="A16" s="22"/>
      <c r="B16" s="217"/>
      <c r="C16" s="157"/>
      <c r="D16" s="161"/>
      <c r="E16" s="161"/>
      <c r="F16" s="161"/>
      <c r="G16" s="161"/>
    </row>
    <row r="17" spans="1:14" ht="18" customHeight="1" x14ac:dyDescent="0.25">
      <c r="A17" s="176"/>
      <c r="B17" s="176"/>
      <c r="C17" s="177" t="s">
        <v>115</v>
      </c>
      <c r="D17" s="178">
        <f>(C12*C10)+(C13*C11)</f>
        <v>200</v>
      </c>
      <c r="E17" s="179" t="s">
        <v>212</v>
      </c>
      <c r="F17" s="176"/>
      <c r="G17" s="176"/>
      <c r="H17" s="176"/>
    </row>
    <row r="18" spans="1:14" ht="18" customHeight="1" x14ac:dyDescent="0.25">
      <c r="A18" s="176"/>
      <c r="B18" s="176"/>
      <c r="C18" s="177" t="s">
        <v>102</v>
      </c>
      <c r="D18" s="178">
        <f>(C12*C14)+(C13*C15)</f>
        <v>3368</v>
      </c>
      <c r="E18" s="179" t="s">
        <v>3</v>
      </c>
      <c r="F18" s="176"/>
      <c r="G18" s="176"/>
      <c r="H18" s="176"/>
    </row>
    <row r="19" spans="1:14" ht="18" customHeight="1" x14ac:dyDescent="0.3">
      <c r="A19" s="288"/>
      <c r="B19" s="288"/>
      <c r="C19" s="289" t="s">
        <v>98</v>
      </c>
      <c r="D19" s="290">
        <f>G10*G12</f>
        <v>50</v>
      </c>
      <c r="E19" s="291" t="s">
        <v>213</v>
      </c>
      <c r="F19" s="292"/>
      <c r="G19" s="288"/>
      <c r="H19" s="293"/>
    </row>
    <row r="20" spans="1:14" ht="18" customHeight="1" x14ac:dyDescent="0.3">
      <c r="A20" s="288"/>
      <c r="B20" s="288"/>
      <c r="C20" s="289" t="s">
        <v>103</v>
      </c>
      <c r="D20" s="290">
        <f>G12*G13</f>
        <v>500</v>
      </c>
      <c r="E20" s="291" t="s">
        <v>3</v>
      </c>
      <c r="F20" s="292"/>
      <c r="G20" s="288"/>
      <c r="H20" s="293"/>
    </row>
    <row r="21" spans="1:14" ht="18" customHeight="1" x14ac:dyDescent="0.25">
      <c r="A21" s="39"/>
      <c r="B21" s="39"/>
      <c r="C21" s="69" t="s">
        <v>95</v>
      </c>
      <c r="D21" s="70">
        <f>ROUND(+E5/25,0)</f>
        <v>8</v>
      </c>
      <c r="E21" s="294" t="s">
        <v>170</v>
      </c>
      <c r="F21" s="40"/>
      <c r="G21" s="39"/>
      <c r="H21" s="35"/>
    </row>
    <row r="22" spans="1:14" ht="12.75" customHeight="1" x14ac:dyDescent="0.25">
      <c r="A22" s="39"/>
      <c r="B22" s="487" t="s">
        <v>8</v>
      </c>
      <c r="C22" s="487"/>
      <c r="D22" s="487"/>
      <c r="E22" s="487"/>
      <c r="F22" s="487"/>
      <c r="G22" s="487"/>
      <c r="H22" s="35"/>
    </row>
    <row r="23" spans="1:14" ht="18" customHeight="1" x14ac:dyDescent="0.25">
      <c r="A23" s="176"/>
      <c r="B23" s="176"/>
      <c r="C23" s="177" t="s">
        <v>96</v>
      </c>
      <c r="D23" s="178">
        <f>SUM(D18+D20)</f>
        <v>3868</v>
      </c>
      <c r="E23" s="179" t="s">
        <v>3</v>
      </c>
      <c r="F23" s="176"/>
      <c r="G23" s="176"/>
      <c r="H23" s="176"/>
    </row>
    <row r="24" spans="1:14" ht="12.75" customHeight="1" x14ac:dyDescent="0.25"/>
    <row r="25" spans="1:14" ht="12.75" customHeight="1" x14ac:dyDescent="0.25">
      <c r="K25" s="11"/>
      <c r="L25" s="11"/>
      <c r="M25" s="11"/>
      <c r="N25" s="11"/>
    </row>
    <row r="26" spans="1:14" ht="12.75" customHeight="1" x14ac:dyDescent="0.25">
      <c r="K26" s="11"/>
      <c r="L26" s="11"/>
      <c r="M26" s="11"/>
      <c r="N26" s="11"/>
    </row>
    <row r="27" spans="1:14" ht="18" customHeight="1" x14ac:dyDescent="0.25">
      <c r="H27" s="223" t="s">
        <v>9</v>
      </c>
      <c r="K27" s="11"/>
      <c r="L27" s="11"/>
      <c r="M27" s="11"/>
      <c r="N27" s="11"/>
    </row>
    <row r="28" spans="1:14" s="11" customFormat="1" ht="12.75" customHeight="1" x14ac:dyDescent="0.25">
      <c r="A28" s="13"/>
      <c r="B28" s="13"/>
      <c r="C28" s="13"/>
      <c r="D28" s="13"/>
      <c r="E28" s="13"/>
      <c r="F28" s="13"/>
      <c r="G28" s="13"/>
      <c r="H28" s="13"/>
    </row>
    <row r="29" spans="1:14" s="11" customFormat="1" ht="12.75" customHeight="1" x14ac:dyDescent="0.25">
      <c r="A29" s="13"/>
      <c r="B29" s="13"/>
      <c r="C29" s="13"/>
      <c r="D29" s="13"/>
      <c r="F29" s="13"/>
      <c r="G29" s="13"/>
      <c r="H29" s="224" t="s">
        <v>56</v>
      </c>
    </row>
    <row r="30" spans="1:14" s="11" customFormat="1" ht="12.75" customHeight="1" x14ac:dyDescent="0.25">
      <c r="A30" s="13"/>
      <c r="B30" s="13"/>
      <c r="C30" s="13"/>
      <c r="D30" s="13"/>
      <c r="E30" s="13"/>
      <c r="F30" s="13"/>
      <c r="G30" s="13"/>
      <c r="H30" s="199" t="s">
        <v>55</v>
      </c>
    </row>
    <row r="31" spans="1:14" s="11" customFormat="1" ht="12.75" customHeight="1" x14ac:dyDescent="0.25">
      <c r="A31" s="13"/>
      <c r="B31" s="13"/>
      <c r="C31" s="13"/>
      <c r="D31" s="13"/>
      <c r="E31" s="13"/>
      <c r="F31" s="13"/>
      <c r="G31" s="13"/>
      <c r="H31" s="246"/>
    </row>
    <row r="32" spans="1:14" s="11" customFormat="1" ht="12.75" customHeight="1" x14ac:dyDescent="0.25">
      <c r="A32" s="13"/>
      <c r="B32" s="13"/>
      <c r="C32" s="13"/>
      <c r="D32" s="13"/>
      <c r="E32" s="13"/>
      <c r="F32" s="13"/>
      <c r="G32" s="13"/>
      <c r="H32" s="199" t="s">
        <v>57</v>
      </c>
    </row>
    <row r="33" spans="1:8" s="11" customFormat="1" ht="12.75" customHeight="1" x14ac:dyDescent="0.25">
      <c r="A33" s="13"/>
      <c r="B33" s="13"/>
      <c r="C33" s="13"/>
      <c r="D33" s="13"/>
      <c r="E33" s="13"/>
      <c r="F33" s="13"/>
      <c r="H33" s="199" t="s">
        <v>10</v>
      </c>
    </row>
    <row r="34" spans="1:8" s="11" customFormat="1" ht="12.75" customHeight="1" x14ac:dyDescent="0.25">
      <c r="A34" s="13"/>
      <c r="B34" s="13"/>
      <c r="C34" s="13"/>
      <c r="D34" s="13"/>
      <c r="E34" s="13"/>
      <c r="F34" s="13"/>
      <c r="H34" s="225" t="s">
        <v>7</v>
      </c>
    </row>
    <row r="35" spans="1:8" s="11" customFormat="1" ht="12.75" customHeight="1" x14ac:dyDescent="0.25">
      <c r="A35" s="13"/>
      <c r="B35" s="13"/>
      <c r="C35" s="13"/>
      <c r="D35" s="13"/>
      <c r="E35" s="13"/>
      <c r="F35" s="13"/>
      <c r="H35" s="225"/>
    </row>
    <row r="36" spans="1:8" s="11" customFormat="1" ht="12.75" customHeight="1" x14ac:dyDescent="0.25">
      <c r="A36" s="13"/>
      <c r="B36" s="13"/>
      <c r="C36" s="13"/>
      <c r="D36" s="13"/>
      <c r="E36" s="13"/>
      <c r="F36" s="13"/>
      <c r="H36" s="225"/>
    </row>
    <row r="37" spans="1:8" s="11" customFormat="1" ht="12.75" customHeight="1" x14ac:dyDescent="0.25">
      <c r="A37" s="13"/>
      <c r="B37" s="13"/>
      <c r="C37" s="13"/>
      <c r="D37" s="13"/>
      <c r="E37" s="13"/>
      <c r="F37" s="13"/>
      <c r="H37" s="225"/>
    </row>
    <row r="38" spans="1:8" s="11" customFormat="1" ht="12.75" customHeight="1" x14ac:dyDescent="0.25">
      <c r="A38" s="13"/>
      <c r="B38" s="13"/>
      <c r="C38" s="13"/>
      <c r="D38" s="13"/>
      <c r="E38" s="13"/>
      <c r="F38" s="13"/>
      <c r="H38" s="225"/>
    </row>
    <row r="39" spans="1:8" s="11" customFormat="1" ht="12.75" customHeight="1" x14ac:dyDescent="0.25">
      <c r="A39" s="13"/>
      <c r="B39" s="13"/>
      <c r="C39" s="13"/>
      <c r="D39" s="13"/>
      <c r="E39" s="13"/>
      <c r="F39" s="13"/>
      <c r="H39" s="225"/>
    </row>
    <row r="40" spans="1:8" s="11" customFormat="1" ht="12.75" customHeight="1" x14ac:dyDescent="0.25">
      <c r="A40" s="13"/>
      <c r="B40" s="13"/>
      <c r="C40" s="13"/>
      <c r="D40" s="13"/>
      <c r="E40" s="13"/>
      <c r="F40" s="13"/>
      <c r="H40" s="225"/>
    </row>
    <row r="41" spans="1:8" ht="21" customHeight="1" x14ac:dyDescent="0.3">
      <c r="B41" s="15" t="s">
        <v>16</v>
      </c>
      <c r="C41" s="114"/>
      <c r="D41" s="114"/>
      <c r="E41" s="114"/>
      <c r="F41" s="114"/>
      <c r="G41" s="246"/>
      <c r="H41" s="246"/>
    </row>
    <row r="42" spans="1:8" ht="21" customHeight="1" x14ac:dyDescent="0.25">
      <c r="B42" s="13"/>
      <c r="C42" s="112"/>
      <c r="D42" s="112"/>
      <c r="E42" s="112"/>
      <c r="F42" s="112"/>
      <c r="G42" s="112"/>
      <c r="H42" s="112"/>
    </row>
    <row r="43" spans="1:8" ht="21" customHeight="1" x14ac:dyDescent="0.25">
      <c r="C43" s="114"/>
      <c r="D43" s="114"/>
      <c r="E43" s="114"/>
      <c r="F43" s="114"/>
      <c r="G43" s="114"/>
      <c r="H43" s="114"/>
    </row>
  </sheetData>
  <sheetProtection algorithmName="SHA-512" hashValue="CTGJLDwm/9i++mzQzASRToqH1LGX86DvuPBD6Rq2oDgaun6dUkKfIG83fb902sZxvmHzp+Zf4utR1cxpXnanyw==" saltValue="QdC/L9uJiKRf3DN7wQOVIw==" spinCount="100000" sheet="1" selectLockedCells="1"/>
  <mergeCells count="8">
    <mergeCell ref="A1:H1"/>
    <mergeCell ref="B22:G22"/>
    <mergeCell ref="E8:F8"/>
    <mergeCell ref="E9:F9"/>
    <mergeCell ref="E10:F11"/>
    <mergeCell ref="G10:G11"/>
    <mergeCell ref="E12:F12"/>
    <mergeCell ref="E13:F13"/>
  </mergeCells>
  <dataValidations count="2"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4" xr:uid="{00000000-0002-0000-0600-000000000000}">
      <formula1>0</formula1>
      <formula2>100</formula2>
    </dataValidation>
    <dataValidation type="whole" errorStyle="warning" allowBlank="1" showInputMessage="1" showErrorMessage="1" errorTitle="Waste Allowance" error="Based upon our experience waste factors less than 5% may result in a shortage of product delivered to site.  " sqref="F4" xr:uid="{00000000-0002-0000-0600-000001000000}">
      <formula1>0</formula1>
      <formula2>100</formula2>
    </dataValidation>
  </dataValidations>
  <hyperlinks>
    <hyperlink ref="H32" r:id="rId1" xr:uid="{00000000-0004-0000-0600-000000000000}"/>
    <hyperlink ref="H30" r:id="rId2" xr:uid="{00000000-0004-0000-0600-000001000000}"/>
    <hyperlink ref="H33" r:id="rId3" xr:uid="{00000000-0004-0000-06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4">
    <tabColor theme="9"/>
    <pageSetUpPr autoPageBreaks="0"/>
  </sheetPr>
  <dimension ref="A1:H43"/>
  <sheetViews>
    <sheetView showGridLines="0" showRowColHeaders="0"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494" t="s">
        <v>184</v>
      </c>
      <c r="B1" s="494"/>
      <c r="C1" s="494"/>
      <c r="D1" s="494"/>
      <c r="E1" s="494"/>
      <c r="F1" s="494"/>
      <c r="G1" s="494"/>
      <c r="H1" s="494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2"/>
      <c r="C3" s="43"/>
      <c r="D3" s="133" t="s">
        <v>87</v>
      </c>
      <c r="E3" s="136">
        <v>1000</v>
      </c>
      <c r="F3" s="158"/>
      <c r="G3" s="2"/>
      <c r="H3" s="3"/>
    </row>
    <row r="4" spans="1:8" ht="18" customHeight="1" x14ac:dyDescent="0.3">
      <c r="A4" s="22"/>
      <c r="B4" s="42"/>
      <c r="C4" s="43"/>
      <c r="D4" s="134" t="s">
        <v>13</v>
      </c>
      <c r="E4" s="137">
        <v>5</v>
      </c>
      <c r="F4" s="159"/>
      <c r="G4" s="160"/>
      <c r="H4" s="160"/>
    </row>
    <row r="5" spans="1:8" ht="18" customHeight="1" x14ac:dyDescent="0.3">
      <c r="A5" s="22"/>
      <c r="B5" s="42"/>
      <c r="C5" s="43"/>
      <c r="D5" s="134" t="s">
        <v>86</v>
      </c>
      <c r="E5" s="347">
        <f>E3+E3*E4/100</f>
        <v>1050</v>
      </c>
      <c r="F5" s="16"/>
      <c r="G5" s="160"/>
      <c r="H5" s="160"/>
    </row>
    <row r="6" spans="1:8" ht="18" customHeight="1" x14ac:dyDescent="0.3">
      <c r="A6" s="22"/>
      <c r="B6" s="30"/>
      <c r="C6" s="31"/>
      <c r="D6" s="135" t="s">
        <v>77</v>
      </c>
      <c r="E6" s="197">
        <v>50</v>
      </c>
      <c r="F6" s="158"/>
      <c r="G6" s="2"/>
      <c r="H6" s="3"/>
    </row>
    <row r="7" spans="1:8" ht="12.75" customHeight="1" x14ac:dyDescent="0.25">
      <c r="A7" s="22"/>
      <c r="B7" s="25"/>
      <c r="C7" s="25"/>
      <c r="D7" s="25"/>
      <c r="E7" s="22"/>
      <c r="F7" s="22"/>
      <c r="G7" s="160"/>
      <c r="H7" s="160"/>
    </row>
    <row r="8" spans="1:8" ht="18" customHeight="1" thickBot="1" x14ac:dyDescent="0.35">
      <c r="A8" s="22"/>
      <c r="B8" s="273" t="s">
        <v>100</v>
      </c>
      <c r="C8" s="274"/>
      <c r="D8" s="161"/>
      <c r="E8" s="495" t="s">
        <v>99</v>
      </c>
      <c r="F8" s="496"/>
      <c r="G8" s="174" t="s">
        <v>110</v>
      </c>
      <c r="H8" s="3"/>
    </row>
    <row r="9" spans="1:8" ht="12.75" customHeight="1" thickTop="1" x14ac:dyDescent="0.3">
      <c r="A9" s="22"/>
      <c r="B9" s="275" t="s">
        <v>101</v>
      </c>
      <c r="C9" s="276">
        <f>E5</f>
        <v>1050</v>
      </c>
      <c r="D9" s="161"/>
      <c r="E9" s="497" t="s">
        <v>169</v>
      </c>
      <c r="F9" s="498"/>
      <c r="G9" s="175">
        <f>E6</f>
        <v>50</v>
      </c>
      <c r="H9" s="3"/>
    </row>
    <row r="10" spans="1:8" ht="12.75" customHeight="1" x14ac:dyDescent="0.25">
      <c r="A10" s="22"/>
      <c r="B10" s="279" t="s">
        <v>112</v>
      </c>
      <c r="C10" s="298">
        <v>100</v>
      </c>
      <c r="D10" s="161"/>
      <c r="E10" s="185"/>
      <c r="F10" s="186" t="s">
        <v>109</v>
      </c>
      <c r="G10" s="192">
        <v>5</v>
      </c>
      <c r="H10" s="162"/>
    </row>
    <row r="11" spans="1:8" ht="12.75" customHeight="1" thickBot="1" x14ac:dyDescent="0.3">
      <c r="A11" s="22"/>
      <c r="B11" s="279" t="s">
        <v>111</v>
      </c>
      <c r="C11" s="299">
        <v>5</v>
      </c>
      <c r="D11" s="161"/>
      <c r="E11" s="188"/>
      <c r="F11" s="189"/>
      <c r="G11" s="190"/>
      <c r="H11" s="162"/>
    </row>
    <row r="12" spans="1:8" ht="18" customHeight="1" thickTop="1" thickBot="1" x14ac:dyDescent="0.3">
      <c r="A12" s="22"/>
      <c r="B12" s="283" t="s">
        <v>69</v>
      </c>
      <c r="C12" s="284">
        <f>IF(MOD(C9,C10)&lt;=(C10*0.65),ROUNDDOWN(+E5/C10,0),ROUNDUP(+E5/C10,0))</f>
        <v>10</v>
      </c>
      <c r="D12" s="161"/>
      <c r="E12" s="505" t="s">
        <v>108</v>
      </c>
      <c r="F12" s="506"/>
      <c r="G12" s="284">
        <f>ROUNDUP(E6/G10,0)</f>
        <v>10</v>
      </c>
      <c r="H12" s="162"/>
    </row>
    <row r="13" spans="1:8" ht="18" customHeight="1" thickTop="1" x14ac:dyDescent="0.25">
      <c r="A13" s="22"/>
      <c r="B13" s="285" t="s">
        <v>113</v>
      </c>
      <c r="C13" s="284">
        <f>IF(ROUNDUP((C9-(C10*C12)),0)&lt;0,0,ROUNDUP((C9-(C10*C12))/C11,0))</f>
        <v>10</v>
      </c>
      <c r="D13" s="161"/>
      <c r="E13" s="507" t="s">
        <v>76</v>
      </c>
      <c r="F13" s="507"/>
      <c r="G13" s="286">
        <v>47</v>
      </c>
    </row>
    <row r="14" spans="1:8" ht="12.75" customHeight="1" x14ac:dyDescent="0.25">
      <c r="A14" s="22"/>
      <c r="B14" s="287" t="s">
        <v>71</v>
      </c>
      <c r="C14" s="78">
        <v>1523</v>
      </c>
      <c r="D14" s="161"/>
    </row>
    <row r="15" spans="1:8" ht="12.75" customHeight="1" x14ac:dyDescent="0.25">
      <c r="A15" s="22"/>
      <c r="B15" s="217" t="s">
        <v>114</v>
      </c>
      <c r="C15" s="157">
        <v>62</v>
      </c>
      <c r="D15" s="161"/>
      <c r="E15" s="161"/>
      <c r="F15" s="161"/>
      <c r="G15" s="161"/>
    </row>
    <row r="16" spans="1:8" ht="12.75" customHeight="1" x14ac:dyDescent="0.25">
      <c r="A16" s="22"/>
      <c r="B16" s="217"/>
      <c r="C16" s="157"/>
      <c r="D16" s="161"/>
      <c r="E16" s="161"/>
      <c r="F16" s="161"/>
      <c r="G16" s="161"/>
    </row>
    <row r="17" spans="1:8" ht="18" customHeight="1" x14ac:dyDescent="0.25">
      <c r="A17" s="176"/>
      <c r="B17" s="176"/>
      <c r="C17" s="177" t="s">
        <v>115</v>
      </c>
      <c r="D17" s="178">
        <f>(C12*C10)+(C13*C11)</f>
        <v>1050</v>
      </c>
      <c r="E17" s="179" t="s">
        <v>185</v>
      </c>
      <c r="F17" s="176"/>
      <c r="G17" s="176"/>
      <c r="H17" s="176"/>
    </row>
    <row r="18" spans="1:8" s="11" customFormat="1" ht="18" customHeight="1" x14ac:dyDescent="0.25">
      <c r="A18" s="176"/>
      <c r="B18" s="176"/>
      <c r="C18" s="177" t="s">
        <v>102</v>
      </c>
      <c r="D18" s="178">
        <f>(C12*C14)+(C13*C15)</f>
        <v>15850</v>
      </c>
      <c r="E18" s="179" t="s">
        <v>3</v>
      </c>
      <c r="F18" s="176"/>
      <c r="G18" s="176"/>
      <c r="H18" s="176"/>
    </row>
    <row r="19" spans="1:8" s="11" customFormat="1" ht="18" customHeight="1" x14ac:dyDescent="0.3">
      <c r="A19" s="288"/>
      <c r="B19" s="288"/>
      <c r="C19" s="289" t="s">
        <v>98</v>
      </c>
      <c r="D19" s="290">
        <f>G10*G12</f>
        <v>50</v>
      </c>
      <c r="E19" s="291" t="s">
        <v>186</v>
      </c>
      <c r="F19" s="292"/>
      <c r="G19" s="288"/>
      <c r="H19" s="293"/>
    </row>
    <row r="20" spans="1:8" s="11" customFormat="1" ht="18" customHeight="1" x14ac:dyDescent="0.3">
      <c r="A20" s="288"/>
      <c r="B20" s="288"/>
      <c r="C20" s="289" t="s">
        <v>103</v>
      </c>
      <c r="D20" s="290">
        <f>G12*G13</f>
        <v>470</v>
      </c>
      <c r="E20" s="291" t="s">
        <v>3</v>
      </c>
      <c r="F20" s="292"/>
      <c r="G20" s="288"/>
      <c r="H20" s="293"/>
    </row>
    <row r="21" spans="1:8" s="11" customFormat="1" ht="18" customHeight="1" x14ac:dyDescent="0.25">
      <c r="A21" s="39"/>
      <c r="B21" s="39"/>
      <c r="C21" s="69" t="s">
        <v>95</v>
      </c>
      <c r="D21" s="70">
        <f>ROUND(+D17/25,0)</f>
        <v>42</v>
      </c>
      <c r="E21" s="294" t="s">
        <v>170</v>
      </c>
      <c r="F21" s="40"/>
      <c r="G21" s="39"/>
      <c r="H21" s="35"/>
    </row>
    <row r="22" spans="1:8" s="11" customFormat="1" ht="18" customHeight="1" x14ac:dyDescent="0.25">
      <c r="A22" s="39"/>
      <c r="B22" s="295"/>
      <c r="C22" s="69" t="s">
        <v>95</v>
      </c>
      <c r="D22" s="70">
        <f>ROUND(+D17/70,0)</f>
        <v>15</v>
      </c>
      <c r="E22" s="294" t="s">
        <v>181</v>
      </c>
      <c r="F22" s="40"/>
      <c r="G22" s="39"/>
      <c r="H22" s="35"/>
    </row>
    <row r="23" spans="1:8" s="11" customFormat="1" x14ac:dyDescent="0.25">
      <c r="A23" s="39"/>
      <c r="B23" s="510" t="s">
        <v>8</v>
      </c>
      <c r="C23" s="510"/>
      <c r="D23" s="510"/>
      <c r="E23" s="510"/>
      <c r="F23" s="510"/>
      <c r="G23" s="510"/>
      <c r="H23" s="35"/>
    </row>
    <row r="24" spans="1:8" s="11" customFormat="1" ht="18" customHeight="1" x14ac:dyDescent="0.25">
      <c r="A24" s="176"/>
      <c r="B24" s="176"/>
      <c r="C24" s="177" t="s">
        <v>97</v>
      </c>
      <c r="D24" s="178">
        <f>SUM(D18+D20)</f>
        <v>16320</v>
      </c>
      <c r="E24" s="179" t="s">
        <v>3</v>
      </c>
      <c r="F24" s="176"/>
      <c r="G24" s="176"/>
      <c r="H24" s="180"/>
    </row>
    <row r="25" spans="1:8" s="11" customFormat="1" ht="12.75" customHeight="1" x14ac:dyDescent="0.25">
      <c r="A25" s="23"/>
      <c r="B25" s="23"/>
      <c r="C25" s="23"/>
      <c r="D25" s="23"/>
      <c r="E25" s="23"/>
      <c r="F25" s="23"/>
      <c r="G25" s="23"/>
      <c r="H25" s="23"/>
    </row>
    <row r="26" spans="1:8" s="11" customFormat="1" ht="12.75" customHeight="1" x14ac:dyDescent="0.25">
      <c r="A26" s="23"/>
      <c r="B26" s="23"/>
      <c r="C26" s="23"/>
      <c r="D26" s="23"/>
      <c r="E26" s="23"/>
      <c r="F26" s="23"/>
      <c r="G26" s="23"/>
      <c r="H26" s="23"/>
    </row>
    <row r="27" spans="1:8" s="11" customFormat="1" ht="12.75" customHeight="1" x14ac:dyDescent="0.25">
      <c r="A27" s="23"/>
      <c r="B27" s="23"/>
      <c r="C27" s="23"/>
      <c r="D27" s="23"/>
      <c r="E27" s="23"/>
      <c r="F27" s="23"/>
      <c r="G27" s="23"/>
      <c r="H27" s="23"/>
    </row>
    <row r="28" spans="1:8" s="11" customFormat="1" ht="17.399999999999999" x14ac:dyDescent="0.25">
      <c r="A28" s="23"/>
      <c r="B28" s="23"/>
      <c r="C28" s="23"/>
      <c r="D28" s="23"/>
      <c r="E28" s="23"/>
      <c r="F28" s="23"/>
      <c r="G28" s="23"/>
      <c r="H28" s="223" t="s">
        <v>9</v>
      </c>
    </row>
    <row r="29" spans="1:8" s="11" customFormat="1" ht="12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s="11" customFormat="1" ht="12.75" customHeight="1" x14ac:dyDescent="0.25">
      <c r="A30" s="13"/>
      <c r="B30" s="13"/>
      <c r="C30" s="13"/>
      <c r="D30" s="13"/>
      <c r="F30" s="13"/>
      <c r="G30" s="13"/>
      <c r="H30" s="224" t="s">
        <v>56</v>
      </c>
    </row>
    <row r="31" spans="1:8" ht="12.75" customHeight="1" x14ac:dyDescent="0.25">
      <c r="A31" s="13"/>
      <c r="B31" s="13"/>
      <c r="C31" s="13"/>
      <c r="D31" s="13"/>
      <c r="E31" s="13"/>
      <c r="F31" s="13"/>
      <c r="G31" s="13"/>
      <c r="H31" s="199" t="s">
        <v>55</v>
      </c>
    </row>
    <row r="32" spans="1:8" ht="12.75" customHeight="1" x14ac:dyDescent="0.25">
      <c r="A32" s="13"/>
      <c r="B32" s="13"/>
      <c r="C32" s="13"/>
      <c r="D32" s="13"/>
      <c r="E32" s="13"/>
      <c r="F32" s="13"/>
      <c r="G32" s="13"/>
      <c r="H32" s="246"/>
    </row>
    <row r="33" spans="1:8" ht="12.75" customHeight="1" x14ac:dyDescent="0.25">
      <c r="A33" s="13"/>
      <c r="B33" s="13"/>
      <c r="C33" s="13"/>
      <c r="D33" s="13"/>
      <c r="E33" s="13"/>
      <c r="F33" s="13"/>
      <c r="G33" s="13"/>
      <c r="H33" s="199" t="s">
        <v>57</v>
      </c>
    </row>
    <row r="34" spans="1:8" ht="12.75" customHeight="1" x14ac:dyDescent="0.25">
      <c r="A34" s="13"/>
      <c r="B34" s="13"/>
      <c r="C34" s="13"/>
      <c r="D34" s="13"/>
      <c r="E34" s="13"/>
      <c r="F34" s="13"/>
      <c r="G34" s="11"/>
      <c r="H34" s="199" t="s">
        <v>10</v>
      </c>
    </row>
    <row r="35" spans="1:8" ht="12.75" customHeight="1" x14ac:dyDescent="0.25">
      <c r="A35" s="13"/>
      <c r="B35" s="13"/>
      <c r="C35" s="13"/>
      <c r="D35" s="13"/>
      <c r="E35" s="13"/>
      <c r="F35" s="13"/>
      <c r="G35" s="11"/>
      <c r="H35" s="225" t="s">
        <v>7</v>
      </c>
    </row>
    <row r="36" spans="1:8" ht="12.75" customHeight="1" x14ac:dyDescent="0.25">
      <c r="A36" s="13"/>
      <c r="B36" s="13"/>
      <c r="C36" s="13"/>
      <c r="D36" s="13"/>
      <c r="E36" s="13"/>
      <c r="F36" s="13"/>
      <c r="G36" s="11"/>
      <c r="H36" s="225"/>
    </row>
    <row r="37" spans="1:8" ht="12.75" customHeight="1" x14ac:dyDescent="0.25">
      <c r="A37" s="13"/>
      <c r="B37" s="13"/>
      <c r="C37" s="13"/>
      <c r="D37" s="13"/>
      <c r="E37" s="13"/>
      <c r="F37" s="13"/>
      <c r="G37" s="11"/>
      <c r="H37" s="225"/>
    </row>
    <row r="38" spans="1:8" ht="12.75" customHeight="1" x14ac:dyDescent="0.25">
      <c r="A38" s="13"/>
      <c r="B38" s="13"/>
      <c r="C38" s="13"/>
      <c r="D38" s="13"/>
      <c r="E38" s="13"/>
      <c r="F38" s="13"/>
      <c r="G38" s="11"/>
      <c r="H38" s="225"/>
    </row>
    <row r="39" spans="1:8" ht="12.75" customHeight="1" x14ac:dyDescent="0.25">
      <c r="A39" s="13"/>
      <c r="B39" s="13"/>
      <c r="C39" s="13"/>
      <c r="D39" s="13"/>
      <c r="E39" s="13"/>
      <c r="F39" s="13"/>
      <c r="G39" s="11"/>
      <c r="H39" s="225"/>
    </row>
    <row r="40" spans="1:8" ht="12.75" customHeight="1" x14ac:dyDescent="0.25">
      <c r="A40" s="13"/>
      <c r="B40" s="13"/>
      <c r="C40" s="13"/>
      <c r="D40" s="13"/>
      <c r="E40" s="13"/>
      <c r="F40" s="13"/>
      <c r="G40" s="11"/>
      <c r="H40" s="225"/>
    </row>
    <row r="41" spans="1:8" ht="21" customHeight="1" x14ac:dyDescent="0.3">
      <c r="B41" s="15" t="s">
        <v>16</v>
      </c>
      <c r="C41" s="508"/>
      <c r="D41" s="508"/>
      <c r="E41" s="508"/>
      <c r="F41" s="508"/>
      <c r="G41" s="508"/>
      <c r="H41" s="508"/>
    </row>
    <row r="42" spans="1:8" ht="21" customHeight="1" x14ac:dyDescent="0.25">
      <c r="B42" s="13"/>
      <c r="C42" s="509"/>
      <c r="D42" s="509"/>
      <c r="E42" s="509"/>
      <c r="F42" s="509"/>
      <c r="G42" s="509"/>
      <c r="H42" s="509"/>
    </row>
    <row r="43" spans="1:8" ht="21" customHeight="1" x14ac:dyDescent="0.25">
      <c r="C43" s="509"/>
      <c r="D43" s="509"/>
      <c r="E43" s="509"/>
      <c r="F43" s="509"/>
      <c r="G43" s="509"/>
      <c r="H43" s="509"/>
    </row>
  </sheetData>
  <sheetProtection algorithmName="SHA-512" hashValue="v1djc2hT10eX0o8Tv0DG7pm5KnWwSKdRkD4b1F31OL76aXFpaLQSbPQbkTXTzjMgHhMvpWr2STUpVJ/vy303AQ==" saltValue="OVNXy+xsCotjQEY1yetcwg==" spinCount="100000" sheet="1" selectLockedCells="1"/>
  <mergeCells count="9">
    <mergeCell ref="C41:H41"/>
    <mergeCell ref="C42:H42"/>
    <mergeCell ref="C43:H43"/>
    <mergeCell ref="A1:H1"/>
    <mergeCell ref="E8:F8"/>
    <mergeCell ref="E9:F9"/>
    <mergeCell ref="E12:F12"/>
    <mergeCell ref="E13:F13"/>
    <mergeCell ref="B23:G23"/>
  </mergeCells>
  <dataValidations count="2">
    <dataValidation type="whole" errorStyle="warning" allowBlank="1" showInputMessage="1" showErrorMessage="1" errorTitle="Waste Allowance" error="Based upon our experience waste factors less than 5% may result in a shortage of product delivered to site.  " sqref="F4" xr:uid="{00000000-0002-0000-0700-000000000000}">
      <formula1>0</formula1>
      <formula2>100</formula2>
    </dataValidation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4" xr:uid="{00000000-0002-0000-0700-000001000000}">
      <formula1>0</formula1>
      <formula2>100</formula2>
    </dataValidation>
  </dataValidations>
  <hyperlinks>
    <hyperlink ref="H34" r:id="rId1" xr:uid="{00000000-0004-0000-0700-000000000000}"/>
    <hyperlink ref="H31" r:id="rId2" xr:uid="{00000000-0004-0000-0700-000001000000}"/>
    <hyperlink ref="H33" r:id="rId3" xr:uid="{00000000-0004-0000-0700-000002000000}"/>
  </hyperlinks>
  <pageMargins left="0.75" right="0.75" top="1" bottom="1" header="0.5" footer="0.5"/>
  <pageSetup orientation="portrait" r:id="rId4"/>
  <headerFooter alignWithMargins="0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8">
    <tabColor theme="9"/>
    <pageSetUpPr autoPageBreaks="0"/>
  </sheetPr>
  <dimension ref="A1:H43"/>
  <sheetViews>
    <sheetView showGridLines="0" showRowColHeaders="0" zoomScaleNormal="100" workbookViewId="0">
      <selection activeCell="A22" sqref="A22"/>
    </sheetView>
  </sheetViews>
  <sheetFormatPr defaultColWidth="9.109375" defaultRowHeight="13.2" x14ac:dyDescent="0.25"/>
  <cols>
    <col min="1" max="1" width="8.6640625" style="23" customWidth="1"/>
    <col min="2" max="2" width="14.6640625" style="23" customWidth="1"/>
    <col min="3" max="6" width="10.6640625" style="23" customWidth="1"/>
    <col min="7" max="7" width="14.6640625" style="23" customWidth="1"/>
    <col min="8" max="8" width="8.6640625" style="23" customWidth="1"/>
    <col min="9" max="16384" width="9.109375" style="23"/>
  </cols>
  <sheetData>
    <row r="1" spans="1:8" ht="24" customHeight="1" x14ac:dyDescent="0.25">
      <c r="A1" s="494" t="s">
        <v>157</v>
      </c>
      <c r="B1" s="494"/>
      <c r="C1" s="494"/>
      <c r="D1" s="494"/>
      <c r="E1" s="494"/>
      <c r="F1" s="494"/>
      <c r="G1" s="494"/>
      <c r="H1" s="494"/>
    </row>
    <row r="2" spans="1:8" ht="12.75" customHeight="1" x14ac:dyDescent="0.25">
      <c r="A2" s="22"/>
      <c r="B2" s="22"/>
      <c r="C2" s="22"/>
      <c r="D2" s="22"/>
      <c r="E2" s="22"/>
      <c r="F2" s="22"/>
      <c r="G2" s="22"/>
    </row>
    <row r="3" spans="1:8" ht="18" customHeight="1" x14ac:dyDescent="0.3">
      <c r="A3" s="22"/>
      <c r="B3" s="42"/>
      <c r="C3" s="43"/>
      <c r="D3" s="133" t="s">
        <v>87</v>
      </c>
      <c r="E3" s="136">
        <v>200</v>
      </c>
      <c r="F3" s="158"/>
      <c r="G3" s="2"/>
      <c r="H3" s="3"/>
    </row>
    <row r="4" spans="1:8" ht="18" customHeight="1" x14ac:dyDescent="0.3">
      <c r="A4" s="22"/>
      <c r="B4" s="42"/>
      <c r="C4" s="43"/>
      <c r="D4" s="134" t="s">
        <v>13</v>
      </c>
      <c r="E4" s="137">
        <v>0</v>
      </c>
      <c r="F4" s="159"/>
      <c r="G4" s="160"/>
      <c r="H4" s="160"/>
    </row>
    <row r="5" spans="1:8" ht="18" customHeight="1" x14ac:dyDescent="0.3">
      <c r="A5" s="22"/>
      <c r="B5" s="42"/>
      <c r="C5" s="43"/>
      <c r="D5" s="134" t="s">
        <v>86</v>
      </c>
      <c r="E5" s="347">
        <f>E3+E3*E4/100</f>
        <v>200</v>
      </c>
      <c r="F5" s="16"/>
      <c r="G5" s="160"/>
      <c r="H5" s="160"/>
    </row>
    <row r="6" spans="1:8" ht="18" customHeight="1" x14ac:dyDescent="0.3">
      <c r="A6" s="22"/>
      <c r="B6" s="30"/>
      <c r="C6" s="31"/>
      <c r="D6" s="135" t="s">
        <v>77</v>
      </c>
      <c r="E6" s="197">
        <v>50</v>
      </c>
      <c r="F6" s="158"/>
      <c r="G6" s="2"/>
      <c r="H6" s="3"/>
    </row>
    <row r="7" spans="1:8" ht="12.75" customHeight="1" x14ac:dyDescent="0.25">
      <c r="A7" s="22"/>
      <c r="B7" s="25"/>
      <c r="C7" s="25"/>
      <c r="D7" s="25"/>
      <c r="E7" s="22"/>
      <c r="F7" s="22"/>
      <c r="G7" s="160"/>
      <c r="H7" s="160"/>
    </row>
    <row r="8" spans="1:8" ht="18" customHeight="1" thickBot="1" x14ac:dyDescent="0.35">
      <c r="A8" s="22"/>
      <c r="B8" s="273" t="s">
        <v>100</v>
      </c>
      <c r="C8" s="274"/>
      <c r="D8" s="161"/>
      <c r="E8" s="495" t="s">
        <v>99</v>
      </c>
      <c r="F8" s="496"/>
      <c r="G8" s="174" t="s">
        <v>110</v>
      </c>
      <c r="H8" s="3"/>
    </row>
    <row r="9" spans="1:8" ht="12.75" customHeight="1" thickTop="1" x14ac:dyDescent="0.3">
      <c r="A9" s="22"/>
      <c r="B9" s="275" t="s">
        <v>101</v>
      </c>
      <c r="C9" s="276">
        <f>E5</f>
        <v>200</v>
      </c>
      <c r="D9" s="161"/>
      <c r="E9" s="497" t="s">
        <v>169</v>
      </c>
      <c r="F9" s="498"/>
      <c r="G9" s="175">
        <f>E6</f>
        <v>50</v>
      </c>
      <c r="H9" s="3"/>
    </row>
    <row r="10" spans="1:8" ht="12.75" customHeight="1" x14ac:dyDescent="0.25">
      <c r="A10" s="22"/>
      <c r="B10" s="279" t="s">
        <v>112</v>
      </c>
      <c r="C10" s="296">
        <v>100</v>
      </c>
      <c r="D10" s="161"/>
      <c r="E10" s="499" t="s">
        <v>109</v>
      </c>
      <c r="F10" s="500"/>
      <c r="G10" s="503">
        <v>5</v>
      </c>
      <c r="H10" s="162"/>
    </row>
    <row r="11" spans="1:8" ht="12.75" customHeight="1" thickBot="1" x14ac:dyDescent="0.3">
      <c r="A11" s="22"/>
      <c r="B11" s="279" t="s">
        <v>111</v>
      </c>
      <c r="C11" s="297">
        <v>5</v>
      </c>
      <c r="D11" s="161"/>
      <c r="E11" s="501"/>
      <c r="F11" s="502"/>
      <c r="G11" s="504"/>
      <c r="H11" s="162"/>
    </row>
    <row r="12" spans="1:8" ht="18" customHeight="1" thickTop="1" thickBot="1" x14ac:dyDescent="0.3">
      <c r="A12" s="22"/>
      <c r="B12" s="283" t="s">
        <v>69</v>
      </c>
      <c r="C12" s="284">
        <f>IF(MOD(C9,C10)&lt;=65,ROUNDDOWN(+E5/C10,0),ROUNDUP(+E5/C10,0))</f>
        <v>2</v>
      </c>
      <c r="D12" s="161"/>
      <c r="E12" s="505" t="s">
        <v>108</v>
      </c>
      <c r="F12" s="506"/>
      <c r="G12" s="284">
        <f>ROUNDUP(E6/G10,0)</f>
        <v>10</v>
      </c>
      <c r="H12" s="162"/>
    </row>
    <row r="13" spans="1:8" ht="18" customHeight="1" thickTop="1" x14ac:dyDescent="0.25">
      <c r="A13" s="22"/>
      <c r="B13" s="285" t="s">
        <v>113</v>
      </c>
      <c r="C13" s="284">
        <f>IF(ROUNDUP((C9-(C10*C12)),0)&lt;0,0,ROUNDUP((C9-(C10*C12))/C11,0))</f>
        <v>0</v>
      </c>
      <c r="D13" s="161"/>
      <c r="E13" s="507" t="s">
        <v>76</v>
      </c>
      <c r="F13" s="507"/>
      <c r="G13" s="286">
        <v>52</v>
      </c>
    </row>
    <row r="14" spans="1:8" ht="12.75" customHeight="1" x14ac:dyDescent="0.25">
      <c r="A14" s="22"/>
      <c r="B14" s="287" t="s">
        <v>71</v>
      </c>
      <c r="C14" s="78">
        <v>1670</v>
      </c>
      <c r="D14" s="161"/>
    </row>
    <row r="15" spans="1:8" ht="12.75" customHeight="1" x14ac:dyDescent="0.25">
      <c r="A15" s="22"/>
      <c r="B15" s="217" t="s">
        <v>114</v>
      </c>
      <c r="C15" s="157">
        <v>83</v>
      </c>
      <c r="D15" s="161"/>
      <c r="E15" s="161"/>
      <c r="F15" s="161"/>
      <c r="G15" s="161"/>
    </row>
    <row r="16" spans="1:8" ht="12.75" customHeight="1" x14ac:dyDescent="0.25">
      <c r="A16" s="22"/>
      <c r="B16" s="217"/>
      <c r="C16" s="157"/>
      <c r="D16" s="161"/>
      <c r="E16" s="161"/>
      <c r="F16" s="161"/>
      <c r="G16" s="161"/>
    </row>
    <row r="17" spans="1:8" ht="18" customHeight="1" x14ac:dyDescent="0.25">
      <c r="A17" s="176"/>
      <c r="B17" s="176"/>
      <c r="C17" s="177" t="s">
        <v>115</v>
      </c>
      <c r="D17" s="178">
        <f>(C12*C10)+(C13*C11)</f>
        <v>200</v>
      </c>
      <c r="E17" s="179" t="s">
        <v>171</v>
      </c>
      <c r="F17" s="176"/>
      <c r="G17" s="176"/>
      <c r="H17" s="176"/>
    </row>
    <row r="18" spans="1:8" s="11" customFormat="1" ht="18" customHeight="1" x14ac:dyDescent="0.25">
      <c r="A18" s="176"/>
      <c r="B18" s="176"/>
      <c r="C18" s="177" t="s">
        <v>102</v>
      </c>
      <c r="D18" s="178">
        <f>(C12*C14)+(C13*C15)</f>
        <v>3340</v>
      </c>
      <c r="E18" s="179" t="s">
        <v>3</v>
      </c>
      <c r="F18" s="176"/>
      <c r="G18" s="176"/>
      <c r="H18" s="176"/>
    </row>
    <row r="19" spans="1:8" s="11" customFormat="1" ht="18" customHeight="1" x14ac:dyDescent="0.3">
      <c r="A19" s="288"/>
      <c r="B19" s="288"/>
      <c r="C19" s="289" t="s">
        <v>98</v>
      </c>
      <c r="D19" s="290">
        <f>G10*G12</f>
        <v>50</v>
      </c>
      <c r="E19" s="291" t="s">
        <v>172</v>
      </c>
      <c r="F19" s="292"/>
      <c r="G19" s="288"/>
      <c r="H19" s="293"/>
    </row>
    <row r="20" spans="1:8" s="11" customFormat="1" ht="18" customHeight="1" x14ac:dyDescent="0.3">
      <c r="A20" s="288"/>
      <c r="B20" s="288"/>
      <c r="C20" s="289" t="s">
        <v>103</v>
      </c>
      <c r="D20" s="290">
        <f>G12*G13</f>
        <v>520</v>
      </c>
      <c r="E20" s="291" t="s">
        <v>3</v>
      </c>
      <c r="F20" s="292"/>
      <c r="G20" s="288"/>
      <c r="H20" s="293"/>
    </row>
    <row r="21" spans="1:8" s="11" customFormat="1" ht="18" customHeight="1" x14ac:dyDescent="0.25">
      <c r="A21" s="39"/>
      <c r="B21" s="39"/>
      <c r="C21" s="69" t="s">
        <v>95</v>
      </c>
      <c r="D21" s="70">
        <f>ROUND(+D17/25,0)</f>
        <v>8</v>
      </c>
      <c r="E21" s="294" t="s">
        <v>170</v>
      </c>
      <c r="F21" s="40"/>
      <c r="G21" s="39"/>
      <c r="H21" s="35"/>
    </row>
    <row r="22" spans="1:8" s="11" customFormat="1" x14ac:dyDescent="0.25">
      <c r="A22" s="39"/>
      <c r="B22" s="510" t="s">
        <v>8</v>
      </c>
      <c r="C22" s="510"/>
      <c r="D22" s="510"/>
      <c r="E22" s="510"/>
      <c r="F22" s="510"/>
      <c r="G22" s="510"/>
      <c r="H22" s="35"/>
    </row>
    <row r="23" spans="1:8" s="11" customFormat="1" ht="18" customHeight="1" x14ac:dyDescent="0.25">
      <c r="A23" s="176"/>
      <c r="B23" s="176"/>
      <c r="C23" s="177" t="s">
        <v>97</v>
      </c>
      <c r="D23" s="178">
        <f>SUM(D18+D20)</f>
        <v>3860</v>
      </c>
      <c r="E23" s="179" t="s">
        <v>3</v>
      </c>
      <c r="F23" s="176"/>
      <c r="G23" s="176"/>
      <c r="H23" s="180"/>
    </row>
    <row r="24" spans="1:8" s="11" customFormat="1" ht="12.75" customHeight="1" x14ac:dyDescent="0.25">
      <c r="A24" s="23"/>
      <c r="B24" s="23"/>
      <c r="C24" s="23"/>
      <c r="D24" s="23"/>
      <c r="E24" s="23"/>
      <c r="F24" s="23"/>
      <c r="G24" s="23"/>
      <c r="H24" s="23"/>
    </row>
    <row r="25" spans="1:8" s="11" customFormat="1" ht="12.75" customHeight="1" x14ac:dyDescent="0.25">
      <c r="A25" s="23"/>
      <c r="B25" s="23"/>
      <c r="C25" s="23"/>
      <c r="D25" s="23"/>
      <c r="E25" s="23"/>
      <c r="F25" s="23"/>
      <c r="G25" s="23"/>
      <c r="H25" s="23"/>
    </row>
    <row r="26" spans="1:8" s="11" customFormat="1" ht="12.75" customHeight="1" x14ac:dyDescent="0.25">
      <c r="A26" s="23"/>
      <c r="B26" s="23"/>
      <c r="C26" s="23"/>
      <c r="D26" s="23"/>
      <c r="E26" s="23"/>
      <c r="F26" s="23"/>
      <c r="G26" s="23"/>
      <c r="H26" s="23"/>
    </row>
    <row r="27" spans="1:8" s="11" customFormat="1" ht="17.399999999999999" x14ac:dyDescent="0.25">
      <c r="A27" s="23"/>
      <c r="B27" s="23"/>
      <c r="C27" s="23"/>
      <c r="D27" s="23"/>
      <c r="E27" s="23"/>
      <c r="F27" s="23"/>
      <c r="G27" s="23"/>
      <c r="H27" s="223" t="s">
        <v>9</v>
      </c>
    </row>
    <row r="28" spans="1:8" s="11" customFormat="1" ht="12.75" customHeight="1" x14ac:dyDescent="0.25">
      <c r="A28" s="13"/>
      <c r="B28" s="13"/>
      <c r="C28" s="13"/>
      <c r="D28" s="13"/>
      <c r="E28" s="13"/>
      <c r="F28" s="13"/>
      <c r="G28" s="13"/>
      <c r="H28" s="13"/>
    </row>
    <row r="29" spans="1:8" s="11" customFormat="1" ht="12.75" customHeight="1" x14ac:dyDescent="0.25">
      <c r="A29" s="13"/>
      <c r="B29" s="13"/>
      <c r="C29" s="13"/>
      <c r="D29" s="13"/>
      <c r="F29" s="13"/>
      <c r="G29" s="13"/>
      <c r="H29" s="224" t="s">
        <v>56</v>
      </c>
    </row>
    <row r="30" spans="1:8" ht="12.75" customHeight="1" x14ac:dyDescent="0.25">
      <c r="A30" s="13"/>
      <c r="B30" s="13"/>
      <c r="C30" s="13"/>
      <c r="D30" s="13"/>
      <c r="E30" s="13"/>
      <c r="F30" s="13"/>
      <c r="G30" s="13"/>
      <c r="H30" s="199" t="s">
        <v>55</v>
      </c>
    </row>
    <row r="31" spans="1:8" ht="12.75" customHeight="1" x14ac:dyDescent="0.25">
      <c r="A31" s="13"/>
      <c r="B31" s="13"/>
      <c r="C31" s="13"/>
      <c r="D31" s="13"/>
      <c r="E31" s="13"/>
      <c r="F31" s="13"/>
      <c r="G31" s="13"/>
      <c r="H31" s="246"/>
    </row>
    <row r="32" spans="1:8" ht="18" customHeight="1" x14ac:dyDescent="0.25">
      <c r="A32" s="13"/>
      <c r="B32" s="13"/>
      <c r="C32" s="13"/>
      <c r="D32" s="13"/>
      <c r="E32" s="13"/>
      <c r="F32" s="13"/>
      <c r="G32" s="13"/>
      <c r="H32" s="199" t="s">
        <v>57</v>
      </c>
    </row>
    <row r="33" spans="1:8" ht="12.75" customHeight="1" x14ac:dyDescent="0.25">
      <c r="A33" s="13"/>
      <c r="B33" s="13"/>
      <c r="C33" s="13"/>
      <c r="D33" s="13"/>
      <c r="E33" s="13"/>
      <c r="F33" s="13"/>
      <c r="G33" s="11"/>
      <c r="H33" s="199" t="s">
        <v>10</v>
      </c>
    </row>
    <row r="34" spans="1:8" ht="12.75" customHeight="1" x14ac:dyDescent="0.25">
      <c r="A34" s="13"/>
      <c r="B34" s="13"/>
      <c r="C34" s="13"/>
      <c r="D34" s="13"/>
      <c r="E34" s="13"/>
      <c r="F34" s="13"/>
      <c r="G34" s="11"/>
      <c r="H34" s="225" t="s">
        <v>7</v>
      </c>
    </row>
    <row r="35" spans="1:8" ht="12.75" customHeight="1" x14ac:dyDescent="0.25">
      <c r="A35" s="13"/>
      <c r="B35" s="13"/>
      <c r="C35" s="13"/>
      <c r="D35" s="13"/>
      <c r="E35" s="13"/>
      <c r="F35" s="13"/>
      <c r="G35" s="11"/>
      <c r="H35" s="225"/>
    </row>
    <row r="36" spans="1:8" ht="12.75" customHeight="1" x14ac:dyDescent="0.25">
      <c r="A36" s="13"/>
      <c r="B36" s="13"/>
      <c r="C36" s="13"/>
      <c r="D36" s="13"/>
      <c r="E36" s="13"/>
      <c r="F36" s="13"/>
      <c r="G36" s="11"/>
      <c r="H36" s="225"/>
    </row>
    <row r="37" spans="1:8" ht="12.75" customHeight="1" x14ac:dyDescent="0.25">
      <c r="A37" s="13"/>
      <c r="B37" s="13"/>
      <c r="C37" s="13"/>
      <c r="D37" s="13"/>
      <c r="E37" s="13"/>
      <c r="F37" s="13"/>
      <c r="G37" s="11"/>
      <c r="H37" s="225"/>
    </row>
    <row r="38" spans="1:8" ht="12.75" customHeight="1" x14ac:dyDescent="0.25">
      <c r="A38" s="13"/>
      <c r="B38" s="13"/>
      <c r="C38" s="13"/>
      <c r="D38" s="13"/>
      <c r="E38" s="13"/>
      <c r="F38" s="13"/>
      <c r="G38" s="11"/>
      <c r="H38" s="225"/>
    </row>
    <row r="39" spans="1:8" ht="12.75" customHeight="1" x14ac:dyDescent="0.25">
      <c r="A39" s="13"/>
      <c r="B39" s="13"/>
      <c r="C39" s="13"/>
      <c r="D39" s="13"/>
      <c r="E39" s="13"/>
      <c r="F39" s="13"/>
      <c r="G39" s="11"/>
      <c r="H39" s="225"/>
    </row>
    <row r="40" spans="1:8" ht="12.75" customHeight="1" x14ac:dyDescent="0.25">
      <c r="A40" s="13"/>
      <c r="B40" s="13"/>
      <c r="C40" s="13"/>
      <c r="D40" s="13"/>
      <c r="E40" s="13"/>
      <c r="F40" s="13"/>
      <c r="G40" s="11"/>
      <c r="H40" s="225"/>
    </row>
    <row r="41" spans="1:8" ht="21" customHeight="1" x14ac:dyDescent="0.3">
      <c r="B41" s="15" t="s">
        <v>16</v>
      </c>
      <c r="C41" s="508"/>
      <c r="D41" s="508"/>
      <c r="E41" s="508"/>
      <c r="F41" s="508"/>
      <c r="G41" s="508"/>
      <c r="H41" s="508"/>
    </row>
    <row r="42" spans="1:8" ht="21" customHeight="1" x14ac:dyDescent="0.25">
      <c r="B42" s="13"/>
      <c r="C42" s="509"/>
      <c r="D42" s="509"/>
      <c r="E42" s="509"/>
      <c r="F42" s="509"/>
      <c r="G42" s="509"/>
      <c r="H42" s="509"/>
    </row>
    <row r="43" spans="1:8" ht="21" customHeight="1" x14ac:dyDescent="0.25">
      <c r="C43" s="509"/>
      <c r="D43" s="509"/>
      <c r="E43" s="509"/>
      <c r="F43" s="509"/>
      <c r="G43" s="509"/>
      <c r="H43" s="509"/>
    </row>
  </sheetData>
  <sheetProtection algorithmName="SHA-512" hashValue="yrvvizHdx3dk1+/v3ZKAe5nKTJcWGUNoVnV/Fmsi0C72wou5xRn5FTAv6TN5wmbkPGlvvjDdzb8ghJilIDw2dw==" saltValue="cnhisg1ANwCxa7YLWu0m0w==" spinCount="100000" sheet="1" selectLockedCells="1"/>
  <mergeCells count="11">
    <mergeCell ref="C41:H41"/>
    <mergeCell ref="C42:H42"/>
    <mergeCell ref="C43:H43"/>
    <mergeCell ref="A1:H1"/>
    <mergeCell ref="E8:F8"/>
    <mergeCell ref="E9:F9"/>
    <mergeCell ref="E10:F11"/>
    <mergeCell ref="G10:G11"/>
    <mergeCell ref="E12:F12"/>
    <mergeCell ref="E13:F13"/>
    <mergeCell ref="B22:G22"/>
  </mergeCells>
  <dataValidations count="2">
    <dataValidation type="whole" errorStyle="warning" allowBlank="1" showInputMessage="1" errorTitle="Waste Allowance" error="Based upon our experience waste factors less than 5% may result in a shortage of product delivered to site.  " promptTitle="Typical Waste Allowance" prompt="Typical allowance  is 2-5%. Projects with a higher than average number of openings and corners may require a higher allowance. " sqref="E4" xr:uid="{00000000-0002-0000-0800-000000000000}">
      <formula1>0</formula1>
      <formula2>100</formula2>
    </dataValidation>
    <dataValidation type="whole" errorStyle="warning" allowBlank="1" showInputMessage="1" showErrorMessage="1" errorTitle="Waste Allowance" error="Based upon our experience waste factors less than 5% may result in a shortage of product delivered to site.  " sqref="F4" xr:uid="{00000000-0002-0000-0800-000001000000}">
      <formula1>0</formula1>
      <formula2>100</formula2>
    </dataValidation>
  </dataValidations>
  <hyperlinks>
    <hyperlink ref="H33" r:id="rId1" xr:uid="{00000000-0004-0000-0800-000000000000}"/>
    <hyperlink ref="H30" r:id="rId2" xr:uid="{00000000-0004-0000-0800-000001000000}"/>
    <hyperlink ref="H32" r:id="rId3" xr:uid="{00000000-0004-0000-0800-000002000000}"/>
  </hyperlinks>
  <pageMargins left="0.75" right="0.75" top="1" bottom="1" header="0.5" footer="0.5"/>
  <pageSetup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39</vt:i4>
      </vt:variant>
    </vt:vector>
  </HeadingPairs>
  <TitlesOfParts>
    <vt:vector size="84" baseType="lpstr">
      <vt:lpstr>INDEX</vt:lpstr>
      <vt:lpstr>CU3</vt:lpstr>
      <vt:lpstr>GC3</vt:lpstr>
      <vt:lpstr>GC4</vt:lpstr>
      <vt:lpstr>MH2</vt:lpstr>
      <vt:lpstr>OC3</vt:lpstr>
      <vt:lpstr>AS3</vt:lpstr>
      <vt:lpstr>COA3</vt:lpstr>
      <vt:lpstr>MID218</vt:lpstr>
      <vt:lpstr>MID218j</vt:lpstr>
      <vt:lpstr>MID358</vt:lpstr>
      <vt:lpstr>MID358j</vt:lpstr>
      <vt:lpstr>CD3</vt:lpstr>
      <vt:lpstr>CD3b</vt:lpstr>
      <vt:lpstr>CD4</vt:lpstr>
      <vt:lpstr>ER2</vt:lpstr>
      <vt:lpstr>ER2_ALT</vt:lpstr>
      <vt:lpstr>FR3</vt:lpstr>
      <vt:lpstr>LR3</vt:lpstr>
      <vt:lpstr>LR4</vt:lpstr>
      <vt:lpstr>MET3a</vt:lpstr>
      <vt:lpstr>MET3c</vt:lpstr>
      <vt:lpstr>SH2</vt:lpstr>
      <vt:lpstr>SH3</vt:lpstr>
      <vt:lpstr>SH4</vt:lpstr>
      <vt:lpstr>SH5</vt:lpstr>
      <vt:lpstr>UL3a</vt:lpstr>
      <vt:lpstr>UL3c</vt:lpstr>
      <vt:lpstr>THIN_LR</vt:lpstr>
      <vt:lpstr>THIN_LR4</vt:lpstr>
      <vt:lpstr>THIN_SH3</vt:lpstr>
      <vt:lpstr>THIN_CD4</vt:lpstr>
      <vt:lpstr>THIN_UL3c</vt:lpstr>
      <vt:lpstr>THIN_FR3 </vt:lpstr>
      <vt:lpstr>THIN_ER2 </vt:lpstr>
      <vt:lpstr>GB3</vt:lpstr>
      <vt:lpstr>AP3a</vt:lpstr>
      <vt:lpstr>AP3c</vt:lpstr>
      <vt:lpstr>AST3a </vt:lpstr>
      <vt:lpstr>AST3c</vt:lpstr>
      <vt:lpstr>ALSB23</vt:lpstr>
      <vt:lpstr>CON31</vt:lpstr>
      <vt:lpstr>TVB31</vt:lpstr>
      <vt:lpstr>MID358j (2)</vt:lpstr>
      <vt:lpstr>AS3 (2)</vt:lpstr>
      <vt:lpstr>ALSB23!Print_Area</vt:lpstr>
      <vt:lpstr>AP3a!Print_Area</vt:lpstr>
      <vt:lpstr>AP3c!Print_Area</vt:lpstr>
      <vt:lpstr>'AS3'!Print_Area</vt:lpstr>
      <vt:lpstr>'AS3 (2)'!Print_Area</vt:lpstr>
      <vt:lpstr>'AST3a '!Print_Area</vt:lpstr>
      <vt:lpstr>AST3c!Print_Area</vt:lpstr>
      <vt:lpstr>'CD3'!Print_Area</vt:lpstr>
      <vt:lpstr>CD3b!Print_Area</vt:lpstr>
      <vt:lpstr>'CD4'!Print_Area</vt:lpstr>
      <vt:lpstr>'CON31'!Print_Area</vt:lpstr>
      <vt:lpstr>'CU3'!Print_Area</vt:lpstr>
      <vt:lpstr>'ER2'!Print_Area</vt:lpstr>
      <vt:lpstr>ER2_ALT!Print_Area</vt:lpstr>
      <vt:lpstr>'FR3'!Print_Area</vt:lpstr>
      <vt:lpstr>'GB3'!Print_Area</vt:lpstr>
      <vt:lpstr>'GC3'!Print_Area</vt:lpstr>
      <vt:lpstr>'GC4'!Print_Area</vt:lpstr>
      <vt:lpstr>INDEX!Print_Area</vt:lpstr>
      <vt:lpstr>'LR3'!Print_Area</vt:lpstr>
      <vt:lpstr>'LR4'!Print_Area</vt:lpstr>
      <vt:lpstr>MET3a!Print_Area</vt:lpstr>
      <vt:lpstr>MET3c!Print_Area</vt:lpstr>
      <vt:lpstr>'MH2'!Print_Area</vt:lpstr>
      <vt:lpstr>'OC3'!Print_Area</vt:lpstr>
      <vt:lpstr>'SH2'!Print_Area</vt:lpstr>
      <vt:lpstr>'SH3'!Print_Area</vt:lpstr>
      <vt:lpstr>'SH4'!Print_Area</vt:lpstr>
      <vt:lpstr>'SH5'!Print_Area</vt:lpstr>
      <vt:lpstr>THIN_CD4!Print_Area</vt:lpstr>
      <vt:lpstr>'THIN_ER2 '!Print_Area</vt:lpstr>
      <vt:lpstr>'THIN_FR3 '!Print_Area</vt:lpstr>
      <vt:lpstr>THIN_LR!Print_Area</vt:lpstr>
      <vt:lpstr>THIN_LR4!Print_Area</vt:lpstr>
      <vt:lpstr>THIN_SH3!Print_Area</vt:lpstr>
      <vt:lpstr>THIN_UL3c!Print_Area</vt:lpstr>
      <vt:lpstr>'TVB31'!Print_Area</vt:lpstr>
      <vt:lpstr>UL3a!Print_Area</vt:lpstr>
      <vt:lpstr>UL3c!Print_Area</vt:lpstr>
    </vt:vector>
  </TitlesOfParts>
  <Company>Arriscraft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Schmidt</dc:creator>
  <cp:lastModifiedBy>Jennifer Vigil</cp:lastModifiedBy>
  <cp:lastPrinted>2018-01-16T21:06:21Z</cp:lastPrinted>
  <dcterms:created xsi:type="dcterms:W3CDTF">2000-02-23T21:47:52Z</dcterms:created>
  <dcterms:modified xsi:type="dcterms:W3CDTF">2020-03-25T19:57:44Z</dcterms:modified>
</cp:coreProperties>
</file>